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36" tabRatio="887" firstSheet="2" activeTab="2"/>
  </bookViews>
  <sheets>
    <sheet name="Переменные" sheetId="1" state="hidden" r:id="rId1"/>
    <sheet name="Счета-ком.за выдачу" sheetId="2" state="veryHidden" r:id="rId2"/>
    <sheet name="Расчет" sheetId="3" r:id="rId3"/>
    <sheet name="ПАРТНЕРЫ" sheetId="4" state="hidden" r:id="rId4"/>
    <sheet name="Регламент" sheetId="5" state="hidden" r:id="rId5"/>
    <sheet name="ИУК 3мес" sheetId="6" state="hidden" r:id="rId6"/>
    <sheet name="График-рассрочка 3" sheetId="7" r:id="rId7"/>
    <sheet name="ИУК 6мес" sheetId="8" state="hidden" r:id="rId8"/>
    <sheet name="График-рассрочка 6" sheetId="9" r:id="rId9"/>
    <sheet name="ИУК 9мес" sheetId="10" state="hidden" r:id="rId10"/>
    <sheet name="График-рассрочка 10 мес" sheetId="11" state="hidden" r:id="rId11"/>
    <sheet name="График-рассрочка 8 мес" sheetId="12" state="hidden" r:id="rId12"/>
  </sheets>
  <externalReferences>
    <externalReference r:id="rId15"/>
    <externalReference r:id="rId16"/>
  </externalReferences>
  <definedNames>
    <definedName name="ВКЛ" localSheetId="10">'Расчет'!#REF!</definedName>
    <definedName name="ВКЛ" localSheetId="8">'Расчет'!#REF!</definedName>
    <definedName name="ВКЛ" localSheetId="11">'Расчет'!#REF!</definedName>
    <definedName name="ВКЛ" localSheetId="7">'Расчет'!#REF!</definedName>
    <definedName name="ВКЛ" localSheetId="9">'Расчет'!#REF!</definedName>
    <definedName name="ВКЛ">'Расчет'!#REF!</definedName>
  </definedNames>
  <calcPr fullCalcOnLoad="1"/>
</workbook>
</file>

<file path=xl/sharedStrings.xml><?xml version="1.0" encoding="utf-8"?>
<sst xmlns="http://schemas.openxmlformats.org/spreadsheetml/2006/main" count="1558" uniqueCount="689">
  <si>
    <t>Тип карты</t>
  </si>
  <si>
    <t>Опыт кредитования</t>
  </si>
  <si>
    <t>Ставки</t>
  </si>
  <si>
    <t>Без опыта</t>
  </si>
  <si>
    <t>С опытом</t>
  </si>
  <si>
    <t>Программа лояльности, п.п.</t>
  </si>
  <si>
    <t xml:space="preserve">Кредитоспособность </t>
  </si>
  <si>
    <t>Travel Card</t>
  </si>
  <si>
    <t>Срок пользования траншем (Trevel card), мес.</t>
  </si>
  <si>
    <t>Овердрафт ЗП</t>
  </si>
  <si>
    <t>Переизготовление по вине клиента Electron</t>
  </si>
  <si>
    <t>Переизготовление по вине клиента Classic</t>
  </si>
  <si>
    <t>Срок кредита, мес.</t>
  </si>
  <si>
    <t>К-т аннуитета</t>
  </si>
  <si>
    <t>Расчет для "Рассрочка"</t>
  </si>
  <si>
    <t>под неуст.</t>
  </si>
  <si>
    <t xml:space="preserve">КОМ.ДОХ.ЗА ВЫДАЧУ ДЕНЕЖНОЙ НАЛИЧНОСТИ ПО КРЕДИТНЫМ ДОГОВОРАМ(РКЦ-7) </t>
  </si>
  <si>
    <t>РКЦ-7</t>
  </si>
  <si>
    <t>График погашения</t>
  </si>
  <si>
    <t>Дифференцированный</t>
  </si>
  <si>
    <t>Аннуитет</t>
  </si>
  <si>
    <t>Ежемесячный платеж</t>
  </si>
  <si>
    <t>Кредитный продукт</t>
  </si>
  <si>
    <t>8101800004142</t>
  </si>
  <si>
    <t xml:space="preserve">КОМ.ДОХ.ЗА ВЫДАЧУ ДЕНЕЖНОЙ НАЛИЧНОСТИ ПО КРЕДИТНЫМ ДОГОВОРАМ(ЦБУ-1) </t>
  </si>
  <si>
    <t>ЦБУ-1</t>
  </si>
  <si>
    <t>8101800001158</t>
  </si>
  <si>
    <t xml:space="preserve">КОМ.ДОХ.ЗА ВЫДАЧУ ДЕНЕЖНОЙ НАЛИЧНОСТИ ПО КРЕДИТНЫМ ДОГОВОРАМ(РКЦ) </t>
  </si>
  <si>
    <t>РКЦ</t>
  </si>
  <si>
    <t>8101800002144</t>
  </si>
  <si>
    <t xml:space="preserve">КОМ.ДОХ.ЗА ВЫДАЧУ ДЕНЕЖНОЙ НАЛИЧНОСТИ ПО КРЕДИТНЫМ ДОГОВОРАМ(РКЦ-2) </t>
  </si>
  <si>
    <t>РКЦ-2</t>
  </si>
  <si>
    <t>8101800003143</t>
  </si>
  <si>
    <t xml:space="preserve">КОМ.ДОХ.ЗА ВЫДАЧУ ДЕНЕЖНОЙ НАЛИЧНОСТИ ПО КРЕДИТНЫМ ДОГОВОРАМ(РКЦ-3) </t>
  </si>
  <si>
    <t>РКЦ-3</t>
  </si>
  <si>
    <t>РУ №2</t>
  </si>
  <si>
    <t>8101800030031</t>
  </si>
  <si>
    <t xml:space="preserve">КОМ.ДОХ.ЗА ВЫДАЧУ ДЕНЕЖНОЙ НАЛИЧНОСТИ ПО КРЕДИТНЫМ ДОГОВОРАМ(РУ №3) </t>
  </si>
  <si>
    <t>РУ №3</t>
  </si>
  <si>
    <t>8101800040148</t>
  </si>
  <si>
    <t xml:space="preserve">КОМ.ДОХ.ЗА ВЫДАЧУ ДЕНЕЖНОЙ НАЛИЧНОСТИ ПО КРЕДИТНЫМ ДОГОВОРАМ(РУ №4) </t>
  </si>
  <si>
    <t>РУ №4</t>
  </si>
  <si>
    <t>8101800060144</t>
  </si>
  <si>
    <t xml:space="preserve">КОМ.ДОХ.ЗА ВЫДАЧУ ДЕНЕЖНОЙ НАЛИЧНОСТИ ПО КРЕДИТНЫМ ДОГОВОРАМ(РУ №6) </t>
  </si>
  <si>
    <t>РУ №6</t>
  </si>
  <si>
    <t>8101800010149</t>
  </si>
  <si>
    <t xml:space="preserve">КОМ.ДОХ.ЗА ВЫДАЧУ ДЕНЕЖНОЙ НАЛИЧНОСТИ ПО КРЕДИТНЫМ ДОГОВОРАМ(РУ №7) </t>
  </si>
  <si>
    <t>РУ №7</t>
  </si>
  <si>
    <t>8101800000032</t>
  </si>
  <si>
    <t xml:space="preserve">КОМ.ДОХ.ЗА ВЫДАЧУ ДЕНЕЖНОЙ НАЛИЧНОСТИ ПО КРЕДИТНЫМ ДОГОВОРАМ </t>
  </si>
  <si>
    <t>ЦА</t>
  </si>
  <si>
    <t>8101800005011</t>
  </si>
  <si>
    <t>РКЦ-4</t>
  </si>
  <si>
    <t xml:space="preserve">КОМ.ДОХ.ЗА ВЫДАЧУ ДЕНЕЖНОЙ НАЛИЧНОСТИ ПО КРЕДИТНЫМ ДОГОВОРАМ(РКЦ-4) </t>
  </si>
  <si>
    <t>8101800006010</t>
  </si>
  <si>
    <t xml:space="preserve">КОМ.ДОХ.ЗА ВЫДАЧУ ДЕНЕЖНОЙ НАЛИЧНОСТИ ПО КРЕДИТНЫМ ДОГОВОРАМ(РКЦ-5) </t>
  </si>
  <si>
    <t>РКЦ-5</t>
  </si>
  <si>
    <t>8101800020168</t>
  </si>
  <si>
    <t xml:space="preserve">КОМ.ДОХ.ЗА ВЫДАЧУ ДЕНЕЖНОЙ НАЛИЧНОСТИ ПО КРЕДИТНЫМ ДОГОВОРАМ(РУ №2) </t>
  </si>
  <si>
    <t>Result</t>
  </si>
  <si>
    <t>КОМ.ДОХ.ЗА ВЫДАЧУ ДЕНЕЖНОЙ НАЛИЧНОСТИ ПО КРЕДИТНЫМ ДОГОВОРАМ(РУ №1)</t>
  </si>
  <si>
    <t>РУ №1</t>
  </si>
  <si>
    <t>На карманные расходы</t>
  </si>
  <si>
    <t>Размер гарантийного депозита(ввод в BYR)</t>
  </si>
  <si>
    <t>Белкарт Премиум</t>
  </si>
  <si>
    <t>Моцная картка</t>
  </si>
  <si>
    <t>Срок</t>
  </si>
  <si>
    <t xml:space="preserve">(max) </t>
  </si>
  <si>
    <t>КП</t>
  </si>
  <si>
    <t>Приблизительный график платежей</t>
  </si>
  <si>
    <t>(не является приложением к договору)</t>
  </si>
  <si>
    <t>Классик</t>
  </si>
  <si>
    <t>ТАЛАКА</t>
  </si>
  <si>
    <t>Ставка Рефинансирования</t>
  </si>
  <si>
    <t>ВКЛ под неустойку</t>
  </si>
  <si>
    <t>ВКЛ под поручительство</t>
  </si>
  <si>
    <t>НКЛ под поручительство</t>
  </si>
  <si>
    <t>НКЛ под неустойку</t>
  </si>
  <si>
    <t>ЛАЙТ на 1 год под неустойку</t>
  </si>
  <si>
    <t>ЛАЙТ на 1 год под поручительство</t>
  </si>
  <si>
    <t>Обыкновенный  на 4 года под поручительство</t>
  </si>
  <si>
    <t>Обыкновенный на 4 года под неустойку</t>
  </si>
  <si>
    <t>Обыкновенный на 2 года под поручительство</t>
  </si>
  <si>
    <t>Обыкновенный на 2 года под неустойку</t>
  </si>
  <si>
    <t>Рефинансирование под неустойку</t>
  </si>
  <si>
    <t>Рефинансирование под поручительство</t>
  </si>
  <si>
    <t>ЛАЙТ</t>
  </si>
  <si>
    <t>ОК</t>
  </si>
  <si>
    <t>"Лайт"</t>
  </si>
  <si>
    <t>МПБ для трудоспособного населения</t>
  </si>
  <si>
    <t>МПБ для пенсионеров</t>
  </si>
  <si>
    <t>Является пенсионером?</t>
  </si>
  <si>
    <t>"На полгода" на 1 год под неустойку</t>
  </si>
  <si>
    <t>6 мес.</t>
  </si>
  <si>
    <t>"Рассрочка "</t>
  </si>
  <si>
    <t>Процентная ставка</t>
  </si>
  <si>
    <t>да</t>
  </si>
  <si>
    <t>нет</t>
  </si>
  <si>
    <t>-</t>
  </si>
  <si>
    <t>Visa Classic</t>
  </si>
  <si>
    <t>Базовый уровень дохода</t>
  </si>
  <si>
    <t xml:space="preserve">КОМ.ДОХ.ЗА ВЫДАЧУ ДЕНЕЖНОЙ НАЛИЧНОСТИ ПО КРЕДИТНЫМ ДОГОВОРАМ(ЦБУ-2)г.Витебск </t>
  </si>
  <si>
    <t>ЦБУ-2</t>
  </si>
  <si>
    <t>Итого:</t>
  </si>
  <si>
    <t>Остаток задолженности по основному долгу</t>
  </si>
  <si>
    <t>Размер платежа по основному долгу</t>
  </si>
  <si>
    <t>Размер платежа процентов по кредиту</t>
  </si>
  <si>
    <t>Итого к уплате</t>
  </si>
  <si>
    <t>НКЛ</t>
  </si>
  <si>
    <t>Дата открытия кредитной линии</t>
  </si>
  <si>
    <t>Дата*</t>
  </si>
  <si>
    <t>Срок кредитования</t>
  </si>
  <si>
    <t>2 года</t>
  </si>
  <si>
    <t>4 года</t>
  </si>
  <si>
    <t>Кредитные карточки</t>
  </si>
  <si>
    <t>С полож. опытом</t>
  </si>
  <si>
    <t>DIF</t>
  </si>
  <si>
    <t>AN</t>
  </si>
  <si>
    <t>Рассрочка</t>
  </si>
  <si>
    <t>3 мес.</t>
  </si>
  <si>
    <t>4 мес.</t>
  </si>
  <si>
    <t>5 мес.</t>
  </si>
  <si>
    <t>Суммы плат. по исп.листам</t>
  </si>
  <si>
    <r>
      <t>Платежи по кредитам</t>
    </r>
    <r>
      <rPr>
        <b/>
        <i/>
        <sz val="10"/>
        <color indexed="10"/>
        <rFont val="Times New Roman"/>
        <family val="1"/>
      </rPr>
      <t>(за искл.реф-го)</t>
    </r>
  </si>
  <si>
    <t>Среднемес. доход</t>
  </si>
  <si>
    <t>Без опыта кред-ия</t>
  </si>
  <si>
    <t>Кол-во поруч-в (СПРАВОЧНО)</t>
  </si>
  <si>
    <t>Желаемая сумма кредита</t>
  </si>
  <si>
    <r>
      <t>Максим.</t>
    </r>
    <r>
      <rPr>
        <b/>
        <i/>
        <sz val="9.5"/>
        <rFont val="Times New Roman"/>
        <family val="1"/>
      </rPr>
      <t xml:space="preserve">  платеж</t>
    </r>
  </si>
  <si>
    <t>Срок        кредитова-ния</t>
  </si>
  <si>
    <t>Срок кредитования (рассрочка)</t>
  </si>
  <si>
    <t>"Да калядаў"</t>
  </si>
  <si>
    <t>8 мес</t>
  </si>
  <si>
    <t>Cумма кредита</t>
  </si>
  <si>
    <t>от 200 - до 6000</t>
  </si>
  <si>
    <t>3, 6, 9 месяцев</t>
  </si>
  <si>
    <t>Проценая ставка 12 мес</t>
  </si>
  <si>
    <t>Процентная ставка с 13 мес</t>
  </si>
  <si>
    <t>Приложение</t>
  </si>
  <si>
    <t>к Информации об условиях кредитования</t>
  </si>
  <si>
    <t>Примерный график погашения кредита</t>
  </si>
  <si>
    <t xml:space="preserve">Сумма кредита </t>
  </si>
  <si>
    <t>белорусских рублей</t>
  </si>
  <si>
    <t>Размер процентов за пользование кредитом:</t>
  </si>
  <si>
    <t>процентов годовых</t>
  </si>
  <si>
    <t>Остаток кредита</t>
  </si>
  <si>
    <t>Кредит</t>
  </si>
  <si>
    <t>Проценты</t>
  </si>
  <si>
    <t>Итого</t>
  </si>
  <si>
    <t>Выдано</t>
  </si>
  <si>
    <t>3 месяца</t>
  </si>
  <si>
    <t>6 месяцев</t>
  </si>
  <si>
    <t>9 месяцев</t>
  </si>
  <si>
    <t>ИНФОРМАЦИЯ ОБ УСЛОВИЯХ КРЕДИТОВАНИЯ</t>
  </si>
  <si>
    <t>КП "Рассрочка"</t>
  </si>
  <si>
    <t>№п/п</t>
  </si>
  <si>
    <t>Условие</t>
  </si>
  <si>
    <t>Содержание условия</t>
  </si>
  <si>
    <t>Сумма кредита (максимальный размер (лимит) общей суммы кредита и (или) предельный размер единовременной задолженности по кредиту), валюта</t>
  </si>
  <si>
    <t>Срок и порядок предоставления кредита, способы предоставления, в том числе без взимания вознаграждения</t>
  </si>
  <si>
    <t>Не позднее рабочего дня следующего за днем заключения кредитного договора путем безналичного перечисления денежных средств в счет оплаты товаров, работ (услуг).</t>
  </si>
  <si>
    <t>Срок и порядок возврата (погашения) кредита (количество, размер и периодичность (сроки) платежей по кредитному договору или порядок определения этих платежей)</t>
  </si>
  <si>
    <t xml:space="preserve">Срок полного погашения кредита – </t>
  </si>
  <si>
    <t>Погашение кредита осуществляется ежемесячно с 01 по 20 число месяца равными долями от суммы кредита, начиная с месяца следующего за месяцем предоставления кредита.</t>
  </si>
  <si>
    <t>Размер процентов за пользование кредитом, порядок определения их размера (с применением фиксированной либо переменной годовой процентной ставки), сумма процентов за весь срок пользования кредитом (на дату предоставления информации) и сроки их уплаты</t>
  </si>
  <si>
    <t xml:space="preserve">Процентная ставка является фиксированной
Уплата процентов за пользование кредитом - ежемесячно с 01 по 20 число месяца в сумме процентов, начисленных за предыдущий месяц.
Проценты начисляются исходя из фактических остатков задолженности на каждый день.
Начисление процентов производится исходя из фактического (365 или 366) количества дней в году.
</t>
  </si>
  <si>
    <t>Сумма процентов за весь срок пользования кредитом:</t>
  </si>
  <si>
    <t>Возможность и условия досрочного возврата (погашения) кредита</t>
  </si>
  <si>
    <t xml:space="preserve">Кредитополучатель имеет право досрочно возвратить кредит. 
</t>
  </si>
  <si>
    <t>Способы возврата (погашения) кредита, в том числе способ осуществления платежей кредитополучателем по кредитному договору без взимания вознаграждения</t>
  </si>
  <si>
    <t>Путем внесения наличных денежных средств в кассу банка, безналичным переводом денежных средств на счет, указанный в кредитном договоре и иным способом в соответствии с законодательством Республики Беларусь</t>
  </si>
  <si>
    <t>Обязанность заявителя (кредитополучателя) заключить иные договоры</t>
  </si>
  <si>
    <t>«Не применимо»</t>
  </si>
  <si>
    <t>Способы обеспечения исполнения обязательств по кредитному договору и обязательные требования к такому обеспечению</t>
  </si>
  <si>
    <t>Исполнение обязательств кредитополучателя по кредитному договору обеспечивается неустойкой.</t>
  </si>
  <si>
    <t>Цели, на которые кредит может быть использован</t>
  </si>
  <si>
    <t>Потребительские нужды</t>
  </si>
  <si>
    <t>Отвественность кредитополучателя за неисполнение (ненадлежащее исполнение) условий кредитного договора, размера неустойки (штрафа, пени) или порядок их определения</t>
  </si>
  <si>
    <t>1. При нарушении срока погашения кредита на сумму просроченной задолженности начисляются проценты за пользование кредитом по ставке равной 20 (Двадцать) процентов годовых.
2. В случае несвоевременного погашения кредита и/или уплаты процентов, кредитополучатель уплачивает БАНКУ пеню в размере 0,1 процента от несвоевременно уплаченных сумм за каждый день просрочки платежа.
3. Кредитополучатель уплачивает банку штраф в размере 5 базовых величин на дату уплаты:
-при несвоевременном и/или ненадлежащем уведомлении банка о любых изменениях своих паспортных данных, места регистрации (прописки), номеров телефонов и иных реквизитов, указанных в предоставленных банку документах на момент заключения договора кредитования;
-при несвоевременном и/или ненадлежащем уведомлении банка о фактах получения кредитов в иных банках, а также заключения договоров в обеспечение исполнения обязательств по кредитным договорам третьих лиц.
4. Кредитополучатель уплачивает банку штраф в размере 25 базовых величин на дату уплаты:
-при не предоставлении по требованию банка документов для контроля платежеспособности, определения принадлежности к инсайдерам банка.</t>
  </si>
  <si>
    <t>Стоимость дополнительных платных услуг, предусмотренных кредитным договором, предоставляемых банком и (или) третьими лицами, а так же согласие заявителя (кредитополучателя) на получение таких услуг</t>
  </si>
  <si>
    <t>«Отсутствует»</t>
  </si>
  <si>
    <t>Иные условия предоставления и возврата (погашения) кредита, а также уплаты процентов за пользование им</t>
  </si>
  <si>
    <t>Примерный график погашения кредита и уплаты процентов прилагается.</t>
  </si>
  <si>
    <t>Заявитель (кредитополучатель)</t>
  </si>
  <si>
    <t>(подпись)</t>
  </si>
  <si>
    <t xml:space="preserve">Процентная ставка является фиксированной.
Уплата процентов за пользование кредитом - ежемесячно с 01 по 20 число месяца в сумме процентов, начисленных за предыдущий месяц.
Проценты начисляются исходя из фактических остатков задолженности на каждый день.
Начисление процентов производится исходя из фактического (365 или 366) количества дней в году.
</t>
  </si>
  <si>
    <t>Категория ПАРТНЕР</t>
  </si>
  <si>
    <t>срок рассрочки</t>
  </si>
  <si>
    <t>3 и 6 месяцев</t>
  </si>
  <si>
    <t>Категория ПАРТНЕР ПЛЮС</t>
  </si>
  <si>
    <t>6 и 9 месяцев</t>
  </si>
  <si>
    <t>наименование</t>
  </si>
  <si>
    <t>официальное название</t>
  </si>
  <si>
    <t>особенности</t>
  </si>
  <si>
    <t>Отделения в которых работают с партнерами</t>
  </si>
  <si>
    <t>Категория Партнера</t>
  </si>
  <si>
    <t>Планета подарков</t>
  </si>
  <si>
    <t>УП "Планета подарков"</t>
  </si>
  <si>
    <t>Все отделения</t>
  </si>
  <si>
    <t>Партнер</t>
  </si>
  <si>
    <t>BRW</t>
  </si>
  <si>
    <t>УП "Торговая компания БРВ"                    СООО "ТК"БРУ"</t>
  </si>
  <si>
    <t>от 50% стоимости товара</t>
  </si>
  <si>
    <t>Дверной лидер</t>
  </si>
  <si>
    <t>УП "Дверной лидер"</t>
  </si>
  <si>
    <t>Кухмастер</t>
  </si>
  <si>
    <t>УП "Эксимер"</t>
  </si>
  <si>
    <t>от 20% стоимости товара</t>
  </si>
  <si>
    <t>Партнер Плюс</t>
  </si>
  <si>
    <t>Новая планета</t>
  </si>
  <si>
    <t>ООО "Новая планета"</t>
  </si>
  <si>
    <t>Мебельбос</t>
  </si>
  <si>
    <t>ООО "Мебельбосс"</t>
  </si>
  <si>
    <t>100котлов</t>
  </si>
  <si>
    <t>ООО "БЛК7"</t>
  </si>
  <si>
    <t>АвтоДСтехно</t>
  </si>
  <si>
    <t>ЧТУП "АвтоДСтехно"</t>
  </si>
  <si>
    <t>ГудРуфинг</t>
  </si>
  <si>
    <t>ООО "ГудРуфинг"</t>
  </si>
  <si>
    <t>Склад котлов</t>
  </si>
  <si>
    <t>ИП Коровацкий Е.Г.</t>
  </si>
  <si>
    <t>E-KOLESO</t>
  </si>
  <si>
    <t>ИП Ваулин</t>
  </si>
  <si>
    <t>АСДиО-системс</t>
  </si>
  <si>
    <t>ООО "АСДиО-системс"</t>
  </si>
  <si>
    <t>БиGOODи</t>
  </si>
  <si>
    <t>ЧТУП "БелОксиС"</t>
  </si>
  <si>
    <t>Pianino.by</t>
  </si>
  <si>
    <t>ООО "Мьюзик Ленд"</t>
  </si>
  <si>
    <t>Концепт</t>
  </si>
  <si>
    <t>ИП Минхузин Т.Р.</t>
  </si>
  <si>
    <t>Go Travel</t>
  </si>
  <si>
    <t>ООО "Путешествуй с нами"</t>
  </si>
  <si>
    <t>АлНикСталь</t>
  </si>
  <si>
    <t>ЧТУП "АлНикСталь"</t>
  </si>
  <si>
    <t>Ваша техника</t>
  </si>
  <si>
    <t>ИП Радаман Д.А.</t>
  </si>
  <si>
    <t>Гранд мебель</t>
  </si>
  <si>
    <t>ИП Цапова Е.В.</t>
  </si>
  <si>
    <t>PARUSNAD,                                  "3 листа"</t>
  </si>
  <si>
    <t>ИП Ляхов В.А.</t>
  </si>
  <si>
    <t>Инженерные инновации</t>
  </si>
  <si>
    <t>ИП Громыко А.Г.</t>
  </si>
  <si>
    <t>Термохит</t>
  </si>
  <si>
    <t>ООО "Термохит"</t>
  </si>
  <si>
    <t>Риволюсгрупп</t>
  </si>
  <si>
    <t>ООО "Риволюсгрупп"</t>
  </si>
  <si>
    <t>Апельсиновая снежинка</t>
  </si>
  <si>
    <t>ЧТУП "Апельсиновая снежинка"</t>
  </si>
  <si>
    <t>ATIOR.BY</t>
  </si>
  <si>
    <t>ООО "Гриевс"</t>
  </si>
  <si>
    <t>ATEX.SHOP.BY</t>
  </si>
  <si>
    <t>ИП Евсеева</t>
  </si>
  <si>
    <t>СРС-Сервис</t>
  </si>
  <si>
    <t>ООО "СРС-Сервис"</t>
  </si>
  <si>
    <t>Бани Сауны</t>
  </si>
  <si>
    <t>ООО "Ванблант"</t>
  </si>
  <si>
    <t>FUTRA.BY</t>
  </si>
  <si>
    <t>ЧТУП "БелМехСеть", ИП Сидоров Ю.М.</t>
  </si>
  <si>
    <t>БелСимПлит</t>
  </si>
  <si>
    <t>ЧП "ЭлитСтильПлюс"</t>
  </si>
  <si>
    <t>DOSTAVIM.BY</t>
  </si>
  <si>
    <t>ООО "Гутер Кауф"</t>
  </si>
  <si>
    <t>ORMATEK</t>
  </si>
  <si>
    <t>ООО "Ортопедические матрасы европейского качества, ранее- "ООО "Здоровый сон"</t>
  </si>
  <si>
    <t>ИП Кравчук Ю.А.</t>
  </si>
  <si>
    <t>LAGO.BY</t>
  </si>
  <si>
    <t>ИП Горбунов Е.Ю.</t>
  </si>
  <si>
    <t>ООО "Склад котлов"</t>
  </si>
  <si>
    <t>YESS.BY</t>
  </si>
  <si>
    <t>ООО "Сервис-торг групп"</t>
  </si>
  <si>
    <t>ОкнаТрейдСервис</t>
  </si>
  <si>
    <t>ООО "ОкнаТрейдСервис"</t>
  </si>
  <si>
    <t>Магазин кровельных материалов «Tanit Steel»</t>
  </si>
  <si>
    <t>ООО "Стальной Альянс"</t>
  </si>
  <si>
    <t>"Кухни и Техника"</t>
  </si>
  <si>
    <t>ИП Чернов А.В.</t>
  </si>
  <si>
    <t>Туристическая компания "MLD-GROUP"</t>
  </si>
  <si>
    <t>ТЧУП "МЛД-ГРУПП"</t>
  </si>
  <si>
    <t>Стоматология "Акцент"</t>
  </si>
  <si>
    <t>ООО "Усяж"</t>
  </si>
  <si>
    <t>САКУБ</t>
  </si>
  <si>
    <t>ООО "САКУБ"</t>
  </si>
  <si>
    <t>Туристическая компания "Эпифора"</t>
  </si>
  <si>
    <t>ООО "Эпифора"</t>
  </si>
  <si>
    <t>Великан</t>
  </si>
  <si>
    <t>ООО "Сольвида"</t>
  </si>
  <si>
    <t>b5.by</t>
  </si>
  <si>
    <t>ИП Фарзиев Г.П.</t>
  </si>
  <si>
    <t>Магазин одежды и кожи</t>
  </si>
  <si>
    <t>ИП Мустафаев И.М.</t>
  </si>
  <si>
    <t>ПВХ</t>
  </si>
  <si>
    <t>ИП Янковский В.А.</t>
  </si>
  <si>
    <t>Diveroli</t>
  </si>
  <si>
    <t>ООО "Дивероли"</t>
  </si>
  <si>
    <t>Магеллан</t>
  </si>
  <si>
    <t>ООО "Инвестиционно-Консалтинговая компания "БелИнТраст"</t>
  </si>
  <si>
    <t>Территория детства</t>
  </si>
  <si>
    <t>ЧП "ДаймондСтиль"</t>
  </si>
  <si>
    <t>Maksidom.by</t>
  </si>
  <si>
    <t>ИП Федоренко М.В.</t>
  </si>
  <si>
    <t>Интернет-магазин фотообоев</t>
  </si>
  <si>
    <t>ИП Вафин Д.М.</t>
  </si>
  <si>
    <t>КухниЛюкс</t>
  </si>
  <si>
    <t>ЧП "КухниЛюкс"</t>
  </si>
  <si>
    <t>Gel-lak.by</t>
  </si>
  <si>
    <t>ИП Мурашкина Т.Л.</t>
  </si>
  <si>
    <t>"Vip Toys", "Girominsk"</t>
  </si>
  <si>
    <t>ИП Костин И.Н.</t>
  </si>
  <si>
    <t>TEPLONE</t>
  </si>
  <si>
    <t>ИП Марегаспарян С.М.</t>
  </si>
  <si>
    <t>Teplo.io</t>
  </si>
  <si>
    <t>"Gelion"</t>
  </si>
  <si>
    <t>ООО "Гелион Техно"</t>
  </si>
  <si>
    <t>АРМАТ Групп</t>
  </si>
  <si>
    <t>ООО "АРМАТ Групп"</t>
  </si>
  <si>
    <t>220 V</t>
  </si>
  <si>
    <t>ЧП "Технодруг"</t>
  </si>
  <si>
    <t>Халаган</t>
  </si>
  <si>
    <t>ООО "Халаган"</t>
  </si>
  <si>
    <t>KAZAK-SHOP</t>
  </si>
  <si>
    <t>ИП Казак В.В.</t>
  </si>
  <si>
    <t>ИП Лычак С.М.</t>
  </si>
  <si>
    <t>KOMPTUT.BY</t>
  </si>
  <si>
    <t>ИП Гарбар И.И.</t>
  </si>
  <si>
    <t>«GomelStroyMarket»</t>
  </si>
  <si>
    <t>ИП Гусев В.В.</t>
  </si>
  <si>
    <t>Магазин пиломатериалов "Лесок"</t>
  </si>
  <si>
    <t>ООО "Лесок Эксперт"</t>
  </si>
  <si>
    <t>Магазин отопительного оборудования"Демитрейд"</t>
  </si>
  <si>
    <t>ЧТУП "Демитрейд"</t>
  </si>
  <si>
    <t>Магазин кровельных материалов «СтройКровСервис»</t>
  </si>
  <si>
    <t>ООО "СтройКровСервис"</t>
  </si>
  <si>
    <t xml:space="preserve">туристическая компания «GeoHunter» </t>
  </si>
  <si>
    <t>ИП Апишева Н.М.</t>
  </si>
  <si>
    <t>Автохаус в Витебске</t>
  </si>
  <si>
    <t>ИП Козловский С.В.</t>
  </si>
  <si>
    <t>Интернет-магазин ANTENKA.by</t>
  </si>
  <si>
    <t>ООО «АнтПроТрейд»</t>
  </si>
  <si>
    <t>Автошкола "Светофор"</t>
  </si>
  <si>
    <t>ЧП "Автошкола "Светофор"</t>
  </si>
  <si>
    <t>ООО "Витавтосервис"</t>
  </si>
  <si>
    <t>М-н сельзхоз. и садовой минитехники "ВамаксТрейд"</t>
  </si>
  <si>
    <t>ООО Вамакс Трейд"</t>
  </si>
  <si>
    <t>Магазин изделий художественной ковки «Lady Tanvira»</t>
  </si>
  <si>
    <t>ЧП «Леди Танвира»</t>
  </si>
  <si>
    <t>Магазин пиломатериалов</t>
  </si>
  <si>
    <t>ИП Хитров В.В.</t>
  </si>
  <si>
    <t>Интернет-магазин «Швеймаг»</t>
  </si>
  <si>
    <t>ИП Зайцев К.Ю.</t>
  </si>
  <si>
    <t>Магазин окон и дверей Belmasters.by</t>
  </si>
  <si>
    <t>ООО «Компания Алтэк»</t>
  </si>
  <si>
    <t xml:space="preserve">Магазин окон ПВХ </t>
  </si>
  <si>
    <t>ИП Старовойтов О.А.</t>
  </si>
  <si>
    <t>Интернет-магазин «Корректор»</t>
  </si>
  <si>
    <t>ЧТУП "КорректМаркет"</t>
  </si>
  <si>
    <t>Интернет-магазин отделочных материалов VITEBSKPOL.BY</t>
  </si>
  <si>
    <t>И.П.Шелупкин С.Г.</t>
  </si>
  <si>
    <t>Магазин мебели «Мебельные решения»</t>
  </si>
  <si>
    <t>ЧПУП "ЛОФТСТУДИЯ"</t>
  </si>
  <si>
    <t>Мебельный магазин «Mebelmax»</t>
  </si>
  <si>
    <t>ООО «МАКСДРАЙВ»</t>
  </si>
  <si>
    <t>Магазин садовой техники  и Интернет-магазин мотоблоков и культиваторов «CATMANN»</t>
  </si>
  <si>
    <t>ООО «Кэтман-групп»</t>
  </si>
  <si>
    <t>Туристическая компания «АтлантисТур»</t>
  </si>
  <si>
    <t>ОДО "АтлантисТур"</t>
  </si>
  <si>
    <t>Магазин горящих путевок «TravelSvet»</t>
  </si>
  <si>
    <t>ИП Савицкая С.В.</t>
  </si>
  <si>
    <t xml:space="preserve">Магазин межкомнатных и входных дверей «el’PORTA» </t>
  </si>
  <si>
    <t>ИП Прудников В.М.</t>
  </si>
  <si>
    <t>Туристическая компания «InnTourLab»</t>
  </si>
  <si>
    <t>ООО «Инновационная команда»</t>
  </si>
  <si>
    <t>Интернет-магазин строительных материалов Metalprofi.by</t>
  </si>
  <si>
    <t>ООО «Лаки Стрим»</t>
  </si>
  <si>
    <t>Ювелирная сеть «7 карат», Ювелирная сеть «DIAMANTE»</t>
  </si>
  <si>
    <t>Частное предприятие «Платина-груп»</t>
  </si>
  <si>
    <t>Магазин евро окон и дверей из ПВХ «ЕвроТоп»</t>
  </si>
  <si>
    <t>ООО «Эваглас»</t>
  </si>
  <si>
    <t xml:space="preserve">Магазин строительных и кровельных материалов «Акваторика»  </t>
  </si>
  <si>
    <t>ООО «Акваторика»</t>
  </si>
  <si>
    <t>Туристическая компания «Студио Трэвел»</t>
  </si>
  <si>
    <t>ООО «Студио Трэвел»</t>
  </si>
  <si>
    <t>Мастерская по ремонту швейных машин Yzelok.by</t>
  </si>
  <si>
    <t>ИП Юркевич А.С.</t>
  </si>
  <si>
    <t>Сеть швейных магазинов «Мир швейных машин»</t>
  </si>
  <si>
    <t>Частное предприятие «МШМ-Запад»</t>
  </si>
  <si>
    <t>Компания по установке натяжных потолков «TEXO»</t>
  </si>
  <si>
    <t>ООО «СД-майт»</t>
  </si>
  <si>
    <t>Магазин отопительного оборудования «DOMKOTLOV»</t>
  </si>
  <si>
    <t>Частное предприятие «Телогрейка»</t>
  </si>
  <si>
    <t>Магазин отопительного оборудования «Евротерм»</t>
  </si>
  <si>
    <t>ООО «Евротерм»</t>
  </si>
  <si>
    <t xml:space="preserve">Магазин кухонь «Центр кухни» </t>
  </si>
  <si>
    <t>ООО «Бримал»</t>
  </si>
  <si>
    <t>Интернет-магазин офисной мебели Clerk.by</t>
  </si>
  <si>
    <t>ИП Трухан Б.Е.</t>
  </si>
  <si>
    <t xml:space="preserve">Магазин отопительного оборудования "ЕВРОТЕРМ" </t>
  </si>
  <si>
    <t>ООО "Торговая сеть Евротерм"</t>
  </si>
  <si>
    <t>Магазин строительных материалов «ОЛКОбелТРАНС»</t>
  </si>
  <si>
    <t>Частное предприятие "ОЛКОбелТРАНС"</t>
  </si>
  <si>
    <t xml:space="preserve">Магазин бассейнов и аксессуаров «Пробел» </t>
  </si>
  <si>
    <t>Частное предприятие «Фалина»</t>
  </si>
  <si>
    <t>Туристическая компания «ВизАвиТур»</t>
  </si>
  <si>
    <t>ООО "ВизАвиТур"</t>
  </si>
  <si>
    <t xml:space="preserve">Мебельный магазин «Идеал Дом» </t>
  </si>
  <si>
    <t>ИП Гужа А.</t>
  </si>
  <si>
    <t>Салон мобильных телефонов Velcom</t>
  </si>
  <si>
    <t>ООО «Мобилбай»</t>
  </si>
  <si>
    <t>Туристическая компания «Bon Tour»</t>
  </si>
  <si>
    <t>ООО «БОН тур плюс»</t>
  </si>
  <si>
    <t>Автосервис «Анабри-ком»</t>
  </si>
  <si>
    <t>ЧП «Анабри-ком»</t>
  </si>
  <si>
    <t>Магазин музыкальных инструментов Pianoservice.by</t>
  </si>
  <si>
    <t>ИП Рагуля В.А.</t>
  </si>
  <si>
    <t>Туристическая компания «Ticket2GO»</t>
  </si>
  <si>
    <t>ООО «Тикет2»</t>
  </si>
  <si>
    <t>Инструментальная компания «ЭНКОР»</t>
  </si>
  <si>
    <t>ООО «СтанкоГрад»</t>
  </si>
  <si>
    <t>Туристическое агентство «START TRAVEL»</t>
  </si>
  <si>
    <t>ИП Азёма М.В.</t>
  </si>
  <si>
    <t>Автохаус «АвтоМирИнвест»</t>
  </si>
  <si>
    <t>Частное предприятие «АвтоМирИнвест»</t>
  </si>
  <si>
    <t>Магазин «Инструменты и техника»</t>
  </si>
  <si>
    <t>ООО «Фортум-Бел»</t>
  </si>
  <si>
    <t>Туристическое агентство «ТурГений»</t>
  </si>
  <si>
    <t>ИП Рабцевич Н.С.</t>
  </si>
  <si>
    <t xml:space="preserve">Туристическое агентство «FAMILY TOUR» </t>
  </si>
  <si>
    <t>ООО «Агентство семейного отдыха»</t>
  </si>
  <si>
    <t>Магазин-мастерская «BuyPhone»</t>
  </si>
  <si>
    <t>ИП Санько В.Н.</t>
  </si>
  <si>
    <t>Туристическое агентство «Silver Pony»</t>
  </si>
  <si>
    <t>ООО «Сильвер Пони»</t>
  </si>
  <si>
    <t xml:space="preserve">Магазин мобильных бань-бочек «Бочонок» </t>
  </si>
  <si>
    <t>ИП Цуканов А.А.</t>
  </si>
  <si>
    <t>Магазин строительных материалов «ИзБа-РосБел»</t>
  </si>
  <si>
    <t>ООО «ИзБа-РосБел»</t>
  </si>
  <si>
    <t>Интернет-магазин электроскутеров CITYCOCO</t>
  </si>
  <si>
    <t>ИП Семёник Ю.А.)</t>
  </si>
  <si>
    <t>Магазин дверей «Дружный»</t>
  </si>
  <si>
    <t>ИП Казакевич Д.В.</t>
  </si>
  <si>
    <t>Магазин плитки и сантехники «SanPlit»</t>
  </si>
  <si>
    <t>ИП Ибрагимов А.В.</t>
  </si>
  <si>
    <t xml:space="preserve">Туристическое агентство «Л-Трэвел» </t>
  </si>
  <si>
    <t>ИП Галагаева Л.Л.</t>
  </si>
  <si>
    <t>Магазин дверей «Двери даром»</t>
  </si>
  <si>
    <t>ООО «ДВЕРНОЙ ОЛИМП»</t>
  </si>
  <si>
    <t>Мотосалон «МОТОМОТО»</t>
  </si>
  <si>
    <t>ООО «МОТОМОТО»</t>
  </si>
  <si>
    <t>Магазин окон и дверей ПВХ «Оконный метр»</t>
  </si>
  <si>
    <t>ООО «Оконный метр бай»</t>
  </si>
  <si>
    <t>Сеть магазинов садовой техники «Хозтоварищ»</t>
  </si>
  <si>
    <t>ООО «Белагро Бел»</t>
  </si>
  <si>
    <t>Интернет-магазин товаров для дома и отдыха «RealShop.by»</t>
  </si>
  <si>
    <t>ИП Шатуха Г.И.</t>
  </si>
  <si>
    <t xml:space="preserve">Общество по оказанию услуг ремонта компьютерной техники,
а также ремонту окон
</t>
  </si>
  <si>
    <t>ООО «Лавента Трэйд»</t>
  </si>
  <si>
    <t xml:space="preserve">Ювелирная сеть «Золотая Мечта» 
Ювелирная сеть «Царское Золото» 
Магазин швейцарских наручных часов «STIME»
</t>
  </si>
  <si>
    <t>ООО «Залант Групп»</t>
  </si>
  <si>
    <t>Туристическое агентство «Стронг Тур»</t>
  </si>
  <si>
    <t>ООО «Стронг Тур»</t>
  </si>
  <si>
    <t>Интернет-магазин компьютерной техники и ноутбуков ИП Чушев А.Н.</t>
  </si>
  <si>
    <t>ИП Чушев А.Н.</t>
  </si>
  <si>
    <t xml:space="preserve">Свадебный салон «Мечта Невест» </t>
  </si>
  <si>
    <t>Частное предприятие «Мечта невест»</t>
  </si>
  <si>
    <t>Магазин дверей «ЕвроСтрой»</t>
  </si>
  <si>
    <t>Частное предприятие «Евростройлайн»</t>
  </si>
  <si>
    <t>Магазин автоматических ворот и автоматики для ворот Myvorota.deal.by</t>
  </si>
  <si>
    <t>ИП Пусь В.С.</t>
  </si>
  <si>
    <t xml:space="preserve">Туристическое агентство «Престиж Аква Тур» </t>
  </si>
  <si>
    <t>ЧУП «ПРЕСТИЖ АКВА ТУР»</t>
  </si>
  <si>
    <t>Магазин корпусной мебели «THE Мебель»</t>
  </si>
  <si>
    <t>ИП Занемонец А.М.</t>
  </si>
  <si>
    <t>Магазин шин и дисков "Империя шин"</t>
  </si>
  <si>
    <t>ООО "Империя шин " и ООО "Уноклаб"</t>
  </si>
  <si>
    <t>Интернет-магазин бытовой техники и товаров для пикника GOTOVKA.by</t>
  </si>
  <si>
    <t>ЧП «Мэйнбелсервис»</t>
  </si>
  <si>
    <t>Интернет-магазин Merc-Motor.by</t>
  </si>
  <si>
    <t>ООО "АЛЬТЕРРА ГРУПП"</t>
  </si>
  <si>
    <t>Магзин садовой техники "Сад и огород"</t>
  </si>
  <si>
    <t>ИП Василевский О.В.</t>
  </si>
  <si>
    <t>ИП Золова Е.А.</t>
  </si>
  <si>
    <t>Туристическое агентство «1001 тур»</t>
  </si>
  <si>
    <t>ИП Ковалевская Т.В.</t>
  </si>
  <si>
    <t>Интернет-магазин сантехники «BYDOM»</t>
  </si>
  <si>
    <t>ООО «Сантехника в дом»</t>
  </si>
  <si>
    <t>Центр туризма «Южный край»</t>
  </si>
  <si>
    <t>ООО «Центр туризма «Южный край»</t>
  </si>
  <si>
    <t>Магазин стройматериалов «Братья Можаровы»</t>
  </si>
  <si>
    <t>ООО "Братья Можаровы"</t>
  </si>
  <si>
    <t xml:space="preserve">Магазин мебели «Минск Мебель.by» </t>
  </si>
  <si>
    <t>ИП Диордица Елена Юрьевна</t>
  </si>
  <si>
    <t>Магазин дверей и стройматериалов «OLISHER»</t>
  </si>
  <si>
    <t>ООО "Олишер"</t>
  </si>
  <si>
    <t xml:space="preserve">Интернет-магазин «MaxiHome» </t>
  </si>
  <si>
    <t>ИП Шабан Д.Н.</t>
  </si>
  <si>
    <t>Розничная торговля стройматериалами</t>
  </si>
  <si>
    <t>ИП Сесликов В.В.</t>
  </si>
  <si>
    <t>Автошкола «Светофор»</t>
  </si>
  <si>
    <t>ООО «Высшая категория»</t>
  </si>
  <si>
    <t>ООО «Автошкола Светофор плюс»</t>
  </si>
  <si>
    <t>Салон дверей «SanDverLux»</t>
  </si>
  <si>
    <t>ООО «Сандверлюкс»</t>
  </si>
  <si>
    <t>Туристическая компания «Make Travel»</t>
  </si>
  <si>
    <t>ООО «Мэйк Трэвел»</t>
  </si>
  <si>
    <t xml:space="preserve">Туристическая компания «Горящие туры» </t>
  </si>
  <si>
    <t>Частное предприятие «Горящие туры-сеть офисов»</t>
  </si>
  <si>
    <t>Магазин ионизаторов воды «Prime Water»</t>
  </si>
  <si>
    <t>ООО "Идеальная вода"</t>
  </si>
  <si>
    <t>Магазин «Оконный Центр»</t>
  </si>
  <si>
    <t>ИП Конюхова Татьяна Владимировна</t>
  </si>
  <si>
    <t xml:space="preserve">Туристическая компания «Sandals» </t>
  </si>
  <si>
    <t>ООО «Сандалис»</t>
  </si>
  <si>
    <t>Дверной салон «DVERI DOM»</t>
  </si>
  <si>
    <t>Частное предприятие "Двери Дом"</t>
  </si>
  <si>
    <t>Частное предприятие "Дверной Салон"</t>
  </si>
  <si>
    <t>Декоративная отделка, сборка мебели</t>
  </si>
  <si>
    <t>ИП Клемпач С.А.</t>
  </si>
  <si>
    <t>ИП Шилов И.А.</t>
  </si>
  <si>
    <t>Интернет-магазин садовой техники NVD.by</t>
  </si>
  <si>
    <t>Частное предприятие "Бизнес и торговля"</t>
  </si>
  <si>
    <t>Строительство и перевозки</t>
  </si>
  <si>
    <t>ООО "Скиттор"</t>
  </si>
  <si>
    <t>Туристические услуги «АСЛ.БЕЛ»</t>
  </si>
  <si>
    <t>ИП Лесников С.В.</t>
  </si>
  <si>
    <t xml:space="preserve">Сеть салонов мебели «Треви-Ан» </t>
  </si>
  <si>
    <t>Частное предприятие «ТревиАнн» и ИП Устах А.В.</t>
  </si>
  <si>
    <t xml:space="preserve">Магазин кровельных материалов «Roofhouse» </t>
  </si>
  <si>
    <t>ИП Самсоник И.А.</t>
  </si>
  <si>
    <t>Мебельный магазин «SVIGO»</t>
  </si>
  <si>
    <t>ИП Духович С.Л.</t>
  </si>
  <si>
    <t xml:space="preserve">Туристическое агентство «Море Трэвэл» </t>
  </si>
  <si>
    <t>ООО «Море Трэвэл</t>
  </si>
  <si>
    <t>Интернет-магазин мебели «Soff»</t>
  </si>
  <si>
    <t>ИП Степанович Ю.В.</t>
  </si>
  <si>
    <t>Магазин-мастерская «Швейные машины»</t>
  </si>
  <si>
    <t>ИП Терешкова Ю.А., ИП Капустина С.Г.</t>
  </si>
  <si>
    <t>ООО "Техногарант"</t>
  </si>
  <si>
    <t xml:space="preserve">Центр реабилитации «PuzzleHealth» </t>
  </si>
  <si>
    <t>ООО «Паззл Хелс»</t>
  </si>
  <si>
    <t>Магазин мебели "ГЛОБУС СТАР"</t>
  </si>
  <si>
    <t>Частное предприятие "ГЛОБУС СТАР"</t>
  </si>
  <si>
    <t>Мобильные передвижные бани-бочки "БАНЯ КОБА"</t>
  </si>
  <si>
    <t>ИП Остроумов Д.В.</t>
  </si>
  <si>
    <t>Магазин мебели «Диприз»</t>
  </si>
  <si>
    <t>ОАО «Диприз»</t>
  </si>
  <si>
    <t xml:space="preserve">Интернет-магазин «MULTIMART» </t>
  </si>
  <si>
    <t>ООО «Милтим»</t>
  </si>
  <si>
    <t>Сеть мебельных магазинов «Евва»</t>
  </si>
  <si>
    <t>Частное предприятие «АртЭлсПро»</t>
  </si>
  <si>
    <t xml:space="preserve">Магазин детских электромобилей «Wingo» </t>
  </si>
  <si>
    <t>ОАО «Апекс-Айс», ИП Ковалевский С.А.</t>
  </si>
  <si>
    <t>Магазин мебели «Этри»</t>
  </si>
  <si>
    <t>ИП Ильюк Д.А.</t>
  </si>
  <si>
    <t>Сеть мебельных магазинов «Мебель из Европы и Израиля»</t>
  </si>
  <si>
    <t>Частное предприятие «Гармония сна»</t>
  </si>
  <si>
    <t xml:space="preserve">Магазин отопительного оборудования «MirKotlov.by» </t>
  </si>
  <si>
    <t>ИП Петрашкевич А.В.</t>
  </si>
  <si>
    <t xml:space="preserve">Компания «Автосервисное оборудование» </t>
  </si>
  <si>
    <t>ООО «Автосервисное оборудование»</t>
  </si>
  <si>
    <t xml:space="preserve">Салон мебели «12 стульев» </t>
  </si>
  <si>
    <t>ООО «Китенок»</t>
  </si>
  <si>
    <t>Магазин дверей «Стальная линия»</t>
  </si>
  <si>
    <t>Частное предприятие «Двери в жизнь»</t>
  </si>
  <si>
    <t xml:space="preserve">Магазин отопительного оборудования «СогрейДом» </t>
  </si>
  <si>
    <t>ООО "СогрейДом Плюс"</t>
  </si>
  <si>
    <t>Магазин мебели «Ekoмебель»</t>
  </si>
  <si>
    <t>ИП Стефаненко Е.В., ИП Стефаненко К.И.</t>
  </si>
  <si>
    <t xml:space="preserve">Туристическая компания «Time to Travel» </t>
  </si>
  <si>
    <t>ООО «Тайм ту Трэвел»</t>
  </si>
  <si>
    <t>Отопительное оборудование ТЕПЛО.BY</t>
  </si>
  <si>
    <t>ООО «Термостудия»</t>
  </si>
  <si>
    <t>Продажа окон «OKNOLIT»</t>
  </si>
  <si>
    <t>Частное предприятие «Ютелла»</t>
  </si>
  <si>
    <t>Магазин отопительного оборудования «Город Котлов»</t>
  </si>
  <si>
    <t>ООО «Город котлов и отопления»</t>
  </si>
  <si>
    <t xml:space="preserve">Интернет-магазин «befresh» </t>
  </si>
  <si>
    <t>ИП Степанов В.В.</t>
  </si>
  <si>
    <t>Магазин окон ПВХ «ОКНОЛИТ»</t>
  </si>
  <si>
    <t>Магазин кухонь «Шеф Кухни»</t>
  </si>
  <si>
    <t>ЗАО «Вариа-Сервис»</t>
  </si>
  <si>
    <t>Швейный магазин «ХоббиШоп»</t>
  </si>
  <si>
    <t>ООО "Хоббишоп"</t>
  </si>
  <si>
    <t>Сеть магазинов мебели «Аскона»</t>
  </si>
  <si>
    <t>ООО «ТД Аскона-Импорт»</t>
  </si>
  <si>
    <t>Компания по продаже, установке, обслуживанию климатической техники в Беларуси</t>
  </si>
  <si>
    <t>ООО «Климат24бел»</t>
  </si>
  <si>
    <t xml:space="preserve">Мебельный магазин «Мебель Лико» </t>
  </si>
  <si>
    <t>ИП Родин Р.П.</t>
  </si>
  <si>
    <t>Торговый Дом ЕвроАгро продажа агротехники в РБ и СНГ</t>
  </si>
  <si>
    <t>ООО «Торговый дом ЕвроАгро»</t>
  </si>
  <si>
    <t>Магазин отопительного оборудования «TIS Group»</t>
  </si>
  <si>
    <t>ИП Цуриков А.В.</t>
  </si>
  <si>
    <t>Магазин ворот и металлоконструкций бытового назначения «Agger»</t>
  </si>
  <si>
    <t>Частное предприятие «Таггерсервис»</t>
  </si>
  <si>
    <t xml:space="preserve">Салон мебели «Петра Мебель» </t>
  </si>
  <si>
    <t>ИП Булгак Е.Г.</t>
  </si>
  <si>
    <t>Магазин мебели и дверей «Про-Дом»</t>
  </si>
  <si>
    <t>ИП Марошек Д.М.</t>
  </si>
  <si>
    <t>Салон по изготовлению мебели по индивидуальным дизайн-проектам «ULTRA MEBEL»</t>
  </si>
  <si>
    <t>ИП Станчук О.А.</t>
  </si>
  <si>
    <t>Интернет-магазин садовой и бытовой техники «Клен сервис»</t>
  </si>
  <si>
    <t>ОДО «Клен-сервис»</t>
  </si>
  <si>
    <t>Мебельный магазин  «При мебели»</t>
  </si>
  <si>
    <t>ООО «При мебели»</t>
  </si>
  <si>
    <t>Мебельный магазин «DVORECMEBEL»</t>
  </si>
  <si>
    <t>ИП Дворецкий М.В.</t>
  </si>
  <si>
    <t>Магазин мотоциклов, экипировки и запчастей «BRAAAP»</t>
  </si>
  <si>
    <t>ИП Казаков С.С.</t>
  </si>
  <si>
    <t>Магазин садовой техники «Садовый рай»</t>
  </si>
  <si>
    <t>ООО «Садовый рай»</t>
  </si>
  <si>
    <t>Магазин отопительного оборудования «Газ. Тепло. Вода.»</t>
  </si>
  <si>
    <t>ОДО «ГМИНА-СЕРВИС»</t>
  </si>
  <si>
    <t xml:space="preserve">Магазин кухонь «Кухни Черри» </t>
  </si>
  <si>
    <t>ООО "Консигма-пак"</t>
  </si>
  <si>
    <t>Магазин отопительного оборудования «Сити Форт»</t>
  </si>
  <si>
    <t>ООО «Ситифорт»</t>
  </si>
  <si>
    <t>Магазин дверей «GRANDDOOR»</t>
  </si>
  <si>
    <t>ИП Струков А.Е.</t>
  </si>
  <si>
    <t>Магазин кровельных и фасадных материалов «МКтрейд»</t>
  </si>
  <si>
    <t>ООО «МКтрейд»</t>
  </si>
  <si>
    <t>Магазин кухонь  «Зодчий»</t>
  </si>
  <si>
    <t>ИП Утгоф А.И.</t>
  </si>
  <si>
    <t>Автохаус «Иветтала»</t>
  </si>
  <si>
    <t>Частное предприятие «Иветтала»</t>
  </si>
  <si>
    <t>Производство и установка натяжных потолков</t>
  </si>
  <si>
    <t>ИП Рудько Д.Л.</t>
  </si>
  <si>
    <t xml:space="preserve">Магазин окон ПВХ «ВегаПласт сервис» </t>
  </si>
  <si>
    <t>Частное предприятие «ТПК ВегаГрупп»</t>
  </si>
  <si>
    <t>Интернет-магазин спортивных товаров и тренажеров  «Спорт Сити»</t>
  </si>
  <si>
    <t>ООО «Беленус»</t>
  </si>
  <si>
    <t>Магазин отопительного оборудования «Престиж Тепло»</t>
  </si>
  <si>
    <t>ООО  «Престиж Тепло»</t>
  </si>
  <si>
    <t>Центр исследований и генетики «НАСЛЕДИЕ»</t>
  </si>
  <si>
    <t>ООО «Центр генетики «Наследие»</t>
  </si>
  <si>
    <t xml:space="preserve">Магазин мебели  «ШКАФ ЖИРАФ» </t>
  </si>
  <si>
    <t>ИП Шеметовец Н.А.</t>
  </si>
  <si>
    <t>Магазин кондиционеров  «Климатические решения»</t>
  </si>
  <si>
    <t>ООО «Климатические решения»</t>
  </si>
  <si>
    <t>Мебельный магазин «DOMOTECA»</t>
  </si>
  <si>
    <t>Частное предприятие «Домотека»</t>
  </si>
  <si>
    <t xml:space="preserve">Мебельный магазин «Алвитолия» </t>
  </si>
  <si>
    <t>Частное предприятие «Алвитолия», ИП Толмачёв А.В.</t>
  </si>
  <si>
    <t>ИП Дворник А.Н.</t>
  </si>
  <si>
    <t>Магазин Климатического оборудования «Супер Климат»</t>
  </si>
  <si>
    <t>ИП Вишневский Д.Э.</t>
  </si>
  <si>
    <t>Магазин шин и дисков «Luma.by»</t>
  </si>
  <si>
    <t>ООО «Шипторгсервис»</t>
  </si>
  <si>
    <t xml:space="preserve">Магазин дверей «Стальная линия» </t>
  </si>
  <si>
    <t>Частное предприятие «Хавильер»</t>
  </si>
  <si>
    <t>Магазин по продаже оборудования для дома «ТоргУниТри»</t>
  </si>
  <si>
    <t>ООО «ТоргУниТри»</t>
  </si>
  <si>
    <t xml:space="preserve">Магазин мебели  «Sky-mebel.by»» </t>
  </si>
  <si>
    <t>ИП Боровик В.В.</t>
  </si>
  <si>
    <t>Магазин оборудования для бани «БАНИ ПЕЧИ»</t>
  </si>
  <si>
    <t>Частное предприятие «БАНИ И ПЕЧИ»</t>
  </si>
  <si>
    <t>Магазин отопительного оборудования «ПРОГРЕЕМ»</t>
  </si>
  <si>
    <t>ООО «Прогреем»</t>
  </si>
  <si>
    <t xml:space="preserve">Магазин дверей «Бонстрой» </t>
  </si>
  <si>
    <t>ЧТУП «Бонстрой»</t>
  </si>
  <si>
    <t>Магазин отопительного оборудования «Котлы»</t>
  </si>
  <si>
    <t>ИП Кудряшова Н.А.</t>
  </si>
  <si>
    <t>Мебельный магазин «ИП Шлапаков А.В.»</t>
  </si>
  <si>
    <t>ИП Шлапаков А.В.</t>
  </si>
  <si>
    <t xml:space="preserve">Магазин Окон ПВХ «ГЕРМЕС ТРАСТ» </t>
  </si>
  <si>
    <t>Частное предприятие «Гермес-Траст»</t>
  </si>
  <si>
    <t>Автохаус по продаже б/у автомобилей</t>
  </si>
  <si>
    <t>ИП Прокуда В.Д.</t>
  </si>
  <si>
    <t>Интернет-магазин Окон ПВХ  «5 SEZONOV»</t>
  </si>
  <si>
    <t>Частное предприятие «Сезон окон»</t>
  </si>
  <si>
    <t>Магазин дверей «Двери Вам»</t>
  </si>
  <si>
    <t>ИП Чупринская Е.А.</t>
  </si>
  <si>
    <t>Туристическое агентство INFINIT TOUR</t>
  </si>
  <si>
    <t>ООО «Инфинит-Т»</t>
  </si>
  <si>
    <t>Стоматологическая клиника ИВА-СТОМ</t>
  </si>
  <si>
    <t>ООО «ИВА-СТОМ»</t>
  </si>
  <si>
    <t>Туристическое агентство «UNITED travel»</t>
  </si>
  <si>
    <t>ИП Реут П.С. , ООО «ЮНАЙТЕД ТРЭВЕЛ»</t>
  </si>
  <si>
    <t>Магазин отопительного оборудования «TEPLOMIR»</t>
  </si>
  <si>
    <t>ИП Бракаренко В.С.</t>
  </si>
  <si>
    <t>Интернет-магазин отопительного оборудования «KOTLOMARKET.BY»</t>
  </si>
  <si>
    <t>ООО «Котломаркет»</t>
  </si>
  <si>
    <t>Магазин дверей «Мировые двери»</t>
  </si>
  <si>
    <t>Частное предприятие «Мировые двери»</t>
  </si>
  <si>
    <t>Магазин отопительного оборудования «IHEAT»</t>
  </si>
  <si>
    <t>ООО «АйХит Инжиниринг»</t>
  </si>
  <si>
    <t>Магазин отопительного оборудования «WarmHouse»</t>
  </si>
  <si>
    <t>ООО «Отопительный стандарт»</t>
  </si>
  <si>
    <t>Магазин кухонь «ЗОВ-Оптима»</t>
  </si>
  <si>
    <t>ИП Каменев С.Н.</t>
  </si>
</sst>
</file>

<file path=xl/styles.xml><?xml version="1.0" encoding="utf-8"?>
<styleSheet xmlns="http://schemas.openxmlformats.org/spreadsheetml/2006/main">
  <numFmts count="66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.&quot;;\-#,##0&quot;.&quot;"/>
    <numFmt numFmtId="181" formatCode="#,##0&quot;.&quot;;[Red]\-#,##0&quot;.&quot;"/>
    <numFmt numFmtId="182" formatCode="#,##0.00&quot;.&quot;;\-#,##0.00&quot;.&quot;"/>
    <numFmt numFmtId="183" formatCode="#,##0.00&quot;.&quot;;[Red]\-#,##0.00&quot;.&quot;"/>
    <numFmt numFmtId="184" formatCode="_-* #,##0&quot;.&quot;_-;\-* #,##0&quot;.&quot;_-;_-* &quot;-&quot;&quot;.&quot;_-;_-@_-"/>
    <numFmt numFmtId="185" formatCode="_-* #,##0_._-;\-* #,##0_._-;_-* &quot;-&quot;_._-;_-@_-"/>
    <numFmt numFmtId="186" formatCode="_-* #,##0.00&quot;.&quot;_-;\-* #,##0.00&quot;.&quot;_-;_-* &quot;-&quot;??&quot;.&quot;_-;_-@_-"/>
    <numFmt numFmtId="187" formatCode="_-* #,##0.00_._-;\-* #,##0.00_._-;_-* &quot;-&quot;??_._-;_-@_-"/>
    <numFmt numFmtId="188" formatCode="###,0&quot;.&quot;00&quot;.&quot;;\-###,0&quot;.&quot;00&quot;.&quot;"/>
    <numFmt numFmtId="189" formatCode="###,0&quot;.&quot;00&quot;.&quot;;[Red]\-###,0&quot;.&quot;00&quot;.&quot;"/>
    <numFmt numFmtId="190" formatCode="_-* ###,0&quot;.&quot;00&quot;.&quot;_-;\-* ###,0&quot;.&quot;00&quot;.&quot;_-;_-* &quot;-&quot;??&quot;.&quot;_-;_-@_-"/>
    <numFmt numFmtId="191" formatCode="_-* ###,0&quot;.&quot;00_._-;\-* ###,0&quot;.&quot;00_._-;_-* &quot;-&quot;??_._-;_-@_-"/>
    <numFmt numFmtId="192" formatCode="###,0&quot;.&quot;00&quot;р.&quot;;\-###,0&quot;.&quot;00&quot;р.&quot;"/>
    <numFmt numFmtId="193" formatCode="###,0&quot;.&quot;00&quot;р.&quot;;[Red]\-###,0&quot;.&quot;00&quot;р.&quot;"/>
    <numFmt numFmtId="194" formatCode="_-* ###,0&quot;.&quot;00&quot;р.&quot;_-;\-* ###,0&quot;.&quot;00&quot;р.&quot;_-;_-* &quot;-&quot;??&quot;р.&quot;_-;_-@_-"/>
    <numFmt numFmtId="195" formatCode="_-* ###,0&quot;.&quot;00_р_._-;\-* ###,0&quot;.&quot;00_р_._-;_-* &quot;-&quot;??_р_._-;_-@_-"/>
    <numFmt numFmtId="196" formatCode="#,##0&quot;р.&quot;"/>
    <numFmt numFmtId="197" formatCode="[$-FC19]d\ mmmm\ yyyy\ &quot;г.&quot;"/>
    <numFmt numFmtId="198" formatCode="###,0&quot;.&quot;00&quot;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800]dddd\,\ mmmm\ dd\,\ yyyy"/>
    <numFmt numFmtId="204" formatCode="0&quot;.&quot;0%"/>
    <numFmt numFmtId="205" formatCode="dd/mm/yy;@"/>
    <numFmt numFmtId="206" formatCode="##,#0&quot;.&quot;0,000"/>
    <numFmt numFmtId="207" formatCode="#,##0,&quot;.&quot;000"/>
    <numFmt numFmtId="208" formatCode="mmm/yyyy"/>
    <numFmt numFmtId="209" formatCode="[$-419]mmmm\ yyyy;@"/>
    <numFmt numFmtId="210" formatCode="[$-FC19]dd\ mmmm\ yyyy\ \г/;@"/>
    <numFmt numFmtId="211" formatCode="0&quot;.&quot;0000"/>
    <numFmt numFmtId="212" formatCode="000000"/>
    <numFmt numFmtId="213" formatCode="[$-FC19]\d\ \m\m\m\m\ \y\y\y\y\ &quot;г.&quot;"/>
    <numFmt numFmtId="214" formatCode="0&quot;.&quot;000%"/>
    <numFmt numFmtId="215" formatCode="[$-419]dd\ mmm\ yy;@"/>
    <numFmt numFmtId="216" formatCode="0.000"/>
    <numFmt numFmtId="217" formatCode="0.00000"/>
    <numFmt numFmtId="218" formatCode="0.00000%"/>
    <numFmt numFmtId="219" formatCode="#,##0.00&quot;р.&quot;"/>
    <numFmt numFmtId="220" formatCode="#,##0.000"/>
    <numFmt numFmtId="221" formatCode="#,##0.0000"/>
  </numFmts>
  <fonts count="78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6"/>
      <color indexed="12"/>
      <name val="Arial Cyr"/>
      <family val="0"/>
    </font>
    <font>
      <u val="single"/>
      <sz val="16"/>
      <color indexed="2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0"/>
    </font>
    <font>
      <b/>
      <i/>
      <sz val="10"/>
      <color indexed="10"/>
      <name val="Times New Roman"/>
      <family val="1"/>
    </font>
    <font>
      <sz val="10"/>
      <color indexed="10"/>
      <name val="Arial Cyr"/>
      <family val="0"/>
    </font>
    <font>
      <b/>
      <i/>
      <sz val="11"/>
      <name val="Times New Roman"/>
      <family val="1"/>
    </font>
    <font>
      <i/>
      <sz val="11.5"/>
      <name val="Times New Roman"/>
      <family val="1"/>
    </font>
    <font>
      <sz val="10"/>
      <name val="Arial"/>
      <family val="2"/>
    </font>
    <font>
      <b/>
      <i/>
      <sz val="11.5"/>
      <name val="Times New Roman"/>
      <family val="1"/>
    </font>
    <font>
      <b/>
      <i/>
      <sz val="11.5"/>
      <color indexed="10"/>
      <name val="Times New Roman"/>
      <family val="1"/>
    </font>
    <font>
      <b/>
      <sz val="11.5"/>
      <name val="Times New Roman"/>
      <family val="1"/>
    </font>
    <font>
      <sz val="9.5"/>
      <name val="Arial Cyr"/>
      <family val="0"/>
    </font>
    <font>
      <b/>
      <sz val="9.5"/>
      <name val="Times New Roman"/>
      <family val="1"/>
    </font>
    <font>
      <b/>
      <i/>
      <sz val="9.5"/>
      <name val="Times New Roman"/>
      <family val="1"/>
    </font>
    <font>
      <b/>
      <i/>
      <u val="single"/>
      <sz val="9.5"/>
      <color indexed="10"/>
      <name val="Times New Roman"/>
      <family val="1"/>
    </font>
    <font>
      <i/>
      <sz val="9.5"/>
      <name val="Times New Roman"/>
      <family val="1"/>
    </font>
    <font>
      <b/>
      <sz val="9.5"/>
      <name val="Arial Cyr"/>
      <family val="0"/>
    </font>
    <font>
      <sz val="11"/>
      <color indexed="9"/>
      <name val="Times New Roman"/>
      <family val="1"/>
    </font>
    <font>
      <b/>
      <sz val="11.5"/>
      <color indexed="47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.5"/>
      <color indexed="9"/>
      <name val="Times New Roman"/>
      <family val="1"/>
    </font>
    <font>
      <b/>
      <sz val="11.5"/>
      <color indexed="43"/>
      <name val="Times New Roman"/>
      <family val="1"/>
    </font>
    <font>
      <i/>
      <sz val="12"/>
      <color indexed="23"/>
      <name val="Times New Roman"/>
      <family val="1"/>
    </font>
    <font>
      <sz val="12"/>
      <color indexed="2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.5"/>
      <color theme="0"/>
      <name val="Times New Roman"/>
      <family val="1"/>
    </font>
    <font>
      <b/>
      <sz val="11.5"/>
      <color rgb="FFFFFF99"/>
      <name val="Times New Roman"/>
      <family val="1"/>
    </font>
    <font>
      <i/>
      <sz val="12"/>
      <color theme="1" tint="0.49998000264167786"/>
      <name val="Times New Roman"/>
      <family val="1"/>
    </font>
    <font>
      <sz val="12"/>
      <color theme="1" tint="0.49998000264167786"/>
      <name val="Times New Roman"/>
      <family val="1"/>
    </font>
    <font>
      <i/>
      <sz val="12"/>
      <color theme="0" tint="-0.4999699890613556"/>
      <name val="Times New Roman"/>
      <family val="1"/>
    </font>
    <font>
      <sz val="12"/>
      <color theme="0" tint="-0.4999699890613556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330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209" fontId="9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1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205" fontId="9" fillId="0" borderId="0" xfId="0" applyNumberFormat="1" applyFont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209" fontId="9" fillId="0" borderId="10" xfId="0" applyNumberFormat="1" applyFont="1" applyBorder="1" applyAlignment="1">
      <alignment horizontal="center" vertical="top" wrapText="1"/>
    </xf>
    <xf numFmtId="0" fontId="12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15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15" xfId="0" applyFont="1" applyBorder="1" applyAlignment="1" applyProtection="1">
      <alignment horizontal="center"/>
      <protection/>
    </xf>
    <xf numFmtId="0" fontId="1" fillId="0" borderId="15" xfId="0" applyFont="1" applyBorder="1" applyAlignment="1">
      <alignment wrapText="1"/>
    </xf>
    <xf numFmtId="0" fontId="1" fillId="32" borderId="15" xfId="0" applyFont="1" applyFill="1" applyBorder="1" applyAlignment="1" applyProtection="1">
      <alignment/>
      <protection locked="0"/>
    </xf>
    <xf numFmtId="0" fontId="0" fillId="32" borderId="15" xfId="0" applyNumberFormat="1" applyFill="1" applyBorder="1" applyAlignment="1" applyProtection="1">
      <alignment/>
      <protection locked="0"/>
    </xf>
    <xf numFmtId="0" fontId="1" fillId="4" borderId="15" xfId="0" applyFont="1" applyFill="1" applyBorder="1" applyAlignment="1" applyProtection="1">
      <alignment/>
      <protection locked="0"/>
    </xf>
    <xf numFmtId="0" fontId="0" fillId="4" borderId="15" xfId="0" applyNumberForma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/>
      <protection locked="0"/>
    </xf>
    <xf numFmtId="0" fontId="0" fillId="33" borderId="15" xfId="0" applyNumberFormat="1" applyFill="1" applyBorder="1" applyAlignment="1" applyProtection="1">
      <alignment/>
      <protection locked="0"/>
    </xf>
    <xf numFmtId="0" fontId="1" fillId="34" borderId="15" xfId="0" applyFont="1" applyFill="1" applyBorder="1" applyAlignment="1" applyProtection="1">
      <alignment/>
      <protection locked="0"/>
    </xf>
    <xf numFmtId="0" fontId="0" fillId="34" borderId="15" xfId="0" applyNumberFormat="1" applyFill="1" applyBorder="1" applyAlignment="1" applyProtection="1">
      <alignment/>
      <protection locked="0"/>
    </xf>
    <xf numFmtId="0" fontId="1" fillId="35" borderId="15" xfId="0" applyFont="1" applyFill="1" applyBorder="1" applyAlignment="1" applyProtection="1">
      <alignment/>
      <protection locked="0"/>
    </xf>
    <xf numFmtId="0" fontId="0" fillId="35" borderId="15" xfId="0" applyNumberFormat="1" applyFill="1" applyBorder="1" applyAlignment="1" applyProtection="1">
      <alignment/>
      <protection locked="0"/>
    </xf>
    <xf numFmtId="0" fontId="1" fillId="36" borderId="15" xfId="0" applyFont="1" applyFill="1" applyBorder="1" applyAlignment="1" applyProtection="1">
      <alignment/>
      <protection locked="0"/>
    </xf>
    <xf numFmtId="0" fontId="0" fillId="36" borderId="15" xfId="0" applyNumberForma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1" fillId="0" borderId="17" xfId="0" applyFont="1" applyFill="1" applyBorder="1" applyAlignment="1">
      <alignment wrapText="1"/>
    </xf>
    <xf numFmtId="0" fontId="12" fillId="0" borderId="15" xfId="0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37" borderId="0" xfId="0" applyFill="1" applyAlignment="1">
      <alignment horizontal="right"/>
    </xf>
    <xf numFmtId="0" fontId="0" fillId="0" borderId="15" xfId="0" applyFont="1" applyBorder="1" applyAlignment="1" applyProtection="1">
      <alignment horizontal="center"/>
      <protection locked="0"/>
    </xf>
    <xf numFmtId="0" fontId="1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/>
    </xf>
    <xf numFmtId="196" fontId="1" fillId="0" borderId="15" xfId="0" applyNumberFormat="1" applyFont="1" applyFill="1" applyBorder="1" applyAlignment="1">
      <alignment horizontal="right" wrapText="1"/>
    </xf>
    <xf numFmtId="196" fontId="1" fillId="0" borderId="15" xfId="0" applyNumberFormat="1" applyFont="1" applyFill="1" applyBorder="1" applyAlignment="1">
      <alignment horizontal="right"/>
    </xf>
    <xf numFmtId="3" fontId="12" fillId="0" borderId="15" xfId="0" applyNumberFormat="1" applyFont="1" applyBorder="1" applyAlignment="1">
      <alignment horizontal="center"/>
    </xf>
    <xf numFmtId="1" fontId="0" fillId="0" borderId="0" xfId="0" applyNumberFormat="1" applyAlignment="1">
      <alignment horizontal="left"/>
    </xf>
    <xf numFmtId="1" fontId="0" fillId="37" borderId="0" xfId="0" applyNumberFormat="1" applyFill="1" applyAlignment="1">
      <alignment horizontal="left"/>
    </xf>
    <xf numFmtId="0" fontId="0" fillId="0" borderId="0" xfId="0" applyAlignment="1" applyProtection="1">
      <alignment/>
      <protection hidden="1"/>
    </xf>
    <xf numFmtId="196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0" fillId="32" borderId="15" xfId="0" applyNumberForma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left"/>
      <protection hidden="1"/>
    </xf>
    <xf numFmtId="1" fontId="18" fillId="0" borderId="0" xfId="0" applyNumberFormat="1" applyFont="1" applyAlignment="1">
      <alignment horizontal="left"/>
    </xf>
    <xf numFmtId="0" fontId="0" fillId="33" borderId="15" xfId="0" applyNumberFormat="1" applyFill="1" applyBorder="1" applyAlignment="1" applyProtection="1">
      <alignment horizontal="center"/>
      <protection locked="0"/>
    </xf>
    <xf numFmtId="0" fontId="0" fillId="4" borderId="15" xfId="0" applyNumberFormat="1" applyFill="1" applyBorder="1" applyAlignment="1" applyProtection="1">
      <alignment horizontal="center"/>
      <protection locked="0"/>
    </xf>
    <xf numFmtId="0" fontId="0" fillId="33" borderId="15" xfId="0" applyNumberFormat="1" applyFill="1" applyBorder="1" applyAlignment="1" applyProtection="1">
      <alignment horizontal="center" vertical="center"/>
      <protection locked="0"/>
    </xf>
    <xf numFmtId="0" fontId="0" fillId="35" borderId="15" xfId="0" applyNumberFormat="1" applyFill="1" applyBorder="1" applyAlignment="1" applyProtection="1">
      <alignment horizontal="center"/>
      <protection locked="0"/>
    </xf>
    <xf numFmtId="0" fontId="0" fillId="36" borderId="15" xfId="0" applyNumberFormat="1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/>
      <protection hidden="1" locked="0"/>
    </xf>
    <xf numFmtId="0" fontId="1" fillId="0" borderId="13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78" fontId="1" fillId="0" borderId="0" xfId="0" applyNumberFormat="1" applyFont="1" applyFill="1" applyBorder="1" applyAlignment="1">
      <alignment horizontal="center" vertical="center" textRotation="255"/>
    </xf>
    <xf numFmtId="0" fontId="1" fillId="5" borderId="15" xfId="0" applyFont="1" applyFill="1" applyBorder="1" applyAlignment="1" applyProtection="1">
      <alignment/>
      <protection locked="0"/>
    </xf>
    <xf numFmtId="0" fontId="0" fillId="5" borderId="15" xfId="0" applyNumberFormat="1" applyFont="1" applyFill="1" applyBorder="1" applyAlignment="1" applyProtection="1">
      <alignment/>
      <protection locked="0"/>
    </xf>
    <xf numFmtId="0" fontId="0" fillId="5" borderId="15" xfId="0" applyNumberFormat="1" applyFill="1" applyBorder="1" applyAlignment="1" applyProtection="1">
      <alignment horizontal="center"/>
      <protection locked="0"/>
    </xf>
    <xf numFmtId="0" fontId="0" fillId="5" borderId="15" xfId="0" applyNumberFormat="1" applyFill="1" applyBorder="1" applyAlignment="1" applyProtection="1">
      <alignment/>
      <protection locked="0"/>
    </xf>
    <xf numFmtId="0" fontId="21" fillId="33" borderId="13" xfId="0" applyFont="1" applyFill="1" applyBorder="1" applyAlignment="1" applyProtection="1">
      <alignment horizontal="center" wrapText="1"/>
      <protection hidden="1"/>
    </xf>
    <xf numFmtId="0" fontId="21" fillId="33" borderId="15" xfId="0" applyFont="1" applyFill="1" applyBorder="1" applyAlignment="1" applyProtection="1">
      <alignment horizontal="center" wrapText="1"/>
      <protection hidden="1"/>
    </xf>
    <xf numFmtId="0" fontId="21" fillId="34" borderId="13" xfId="0" applyFont="1" applyFill="1" applyBorder="1" applyAlignment="1" applyProtection="1">
      <alignment horizontal="center" wrapText="1"/>
      <protection hidden="1"/>
    </xf>
    <xf numFmtId="0" fontId="21" fillId="34" borderId="20" xfId="0" applyFont="1" applyFill="1" applyBorder="1" applyAlignment="1" applyProtection="1">
      <alignment horizontal="center" wrapText="1"/>
      <protection hidden="1"/>
    </xf>
    <xf numFmtId="0" fontId="22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3" fontId="27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7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Alignment="1" applyProtection="1">
      <alignment horizontal="left"/>
      <protection hidden="1"/>
    </xf>
    <xf numFmtId="3" fontId="23" fillId="4" borderId="21" xfId="0" applyNumberFormat="1" applyFont="1" applyFill="1" applyBorder="1" applyAlignment="1" applyProtection="1">
      <alignment horizontal="center" vertical="center" wrapText="1"/>
      <protection hidden="1" locked="0"/>
    </xf>
    <xf numFmtId="215" fontId="28" fillId="0" borderId="0" xfId="0" applyNumberFormat="1" applyFont="1" applyBorder="1" applyAlignment="1">
      <alignment horizontal="center" vertical="top" wrapText="1"/>
    </xf>
    <xf numFmtId="3" fontId="28" fillId="0" borderId="0" xfId="0" applyNumberFormat="1" applyFont="1" applyBorder="1" applyAlignment="1">
      <alignment horizontal="center" vertical="top" wrapText="1"/>
    </xf>
    <xf numFmtId="3" fontId="13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5" fillId="4" borderId="22" xfId="0" applyFont="1" applyFill="1" applyBorder="1" applyAlignment="1">
      <alignment vertical="top" wrapText="1"/>
    </xf>
    <xf numFmtId="219" fontId="0" fillId="0" borderId="15" xfId="0" applyNumberFormat="1" applyFont="1" applyBorder="1" applyAlignment="1" applyProtection="1">
      <alignment/>
      <protection locked="0"/>
    </xf>
    <xf numFmtId="4" fontId="21" fillId="33" borderId="15" xfId="0" applyNumberFormat="1" applyFont="1" applyFill="1" applyBorder="1" applyAlignment="1" applyProtection="1">
      <alignment horizontal="center" vertical="center" wrapText="1"/>
      <protection hidden="1"/>
    </xf>
    <xf numFmtId="4" fontId="29" fillId="34" borderId="15" xfId="0" applyNumberFormat="1" applyFont="1" applyFill="1" applyBorder="1" applyAlignment="1" applyProtection="1">
      <alignment horizontal="center" vertical="center" wrapText="1"/>
      <protection hidden="1"/>
    </xf>
    <xf numFmtId="4" fontId="29" fillId="34" borderId="20" xfId="0" applyNumberFormat="1" applyFont="1" applyFill="1" applyBorder="1" applyAlignment="1" applyProtection="1">
      <alignment horizontal="center" vertical="center" wrapText="1"/>
      <protection hidden="1"/>
    </xf>
    <xf numFmtId="4" fontId="1" fillId="4" borderId="23" xfId="0" applyNumberFormat="1" applyFont="1" applyFill="1" applyBorder="1" applyAlignment="1" applyProtection="1">
      <alignment horizontal="center" vertical="center" wrapText="1"/>
      <protection hidden="1" locked="0"/>
    </xf>
    <xf numFmtId="4" fontId="1" fillId="4" borderId="20" xfId="0" applyNumberFormat="1" applyFont="1" applyFill="1" applyBorder="1" applyAlignment="1" applyProtection="1">
      <alignment horizontal="center" vertical="center" wrapText="1"/>
      <protection hidden="1" locked="0"/>
    </xf>
    <xf numFmtId="4" fontId="23" fillId="0" borderId="24" xfId="0" applyNumberFormat="1" applyFont="1" applyFill="1" applyBorder="1" applyAlignment="1" applyProtection="1">
      <alignment horizontal="center" vertical="center" wrapText="1"/>
      <protection hidden="1"/>
    </xf>
    <xf numFmtId="4" fontId="23" fillId="4" borderId="25" xfId="0" applyNumberFormat="1" applyFont="1" applyFill="1" applyBorder="1" applyAlignment="1" applyProtection="1">
      <alignment horizontal="center" vertical="center" wrapText="1"/>
      <protection hidden="1" locked="0"/>
    </xf>
    <xf numFmtId="4" fontId="9" fillId="0" borderId="26" xfId="0" applyNumberFormat="1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horizontal="center" vertical="top" wrapText="1"/>
    </xf>
    <xf numFmtId="4" fontId="9" fillId="0" borderId="27" xfId="0" applyNumberFormat="1" applyFont="1" applyBorder="1" applyAlignment="1">
      <alignment horizontal="center" vertical="top" wrapText="1"/>
    </xf>
    <xf numFmtId="4" fontId="9" fillId="0" borderId="28" xfId="0" applyNumberFormat="1" applyFont="1" applyBorder="1" applyAlignment="1">
      <alignment horizontal="center" vertical="top" wrapText="1"/>
    </xf>
    <xf numFmtId="4" fontId="9" fillId="0" borderId="29" xfId="0" applyNumberFormat="1" applyFont="1" applyBorder="1" applyAlignment="1">
      <alignment horizontal="center" vertical="top" wrapText="1"/>
    </xf>
    <xf numFmtId="4" fontId="9" fillId="0" borderId="3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4" fontId="5" fillId="4" borderId="31" xfId="0" applyNumberFormat="1" applyFont="1" applyFill="1" applyBorder="1" applyAlignment="1">
      <alignment horizontal="center" vertical="top" wrapText="1"/>
    </xf>
    <xf numFmtId="0" fontId="4" fillId="4" borderId="31" xfId="0" applyFont="1" applyFill="1" applyBorder="1" applyAlignment="1">
      <alignment horizontal="center" vertical="top" wrapText="1"/>
    </xf>
    <xf numFmtId="2" fontId="2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4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196" fontId="23" fillId="0" borderId="0" xfId="0" applyNumberFormat="1" applyFont="1" applyFill="1" applyBorder="1" applyAlignment="1" applyProtection="1">
      <alignment horizontal="center" vertical="center" wrapText="1"/>
      <protection hidden="1"/>
    </xf>
    <xf numFmtId="196" fontId="0" fillId="0" borderId="0" xfId="0" applyNumberFormat="1" applyFill="1" applyAlignment="1">
      <alignment/>
    </xf>
    <xf numFmtId="0" fontId="19" fillId="0" borderId="16" xfId="0" applyFont="1" applyFill="1" applyBorder="1" applyAlignment="1" applyProtection="1">
      <alignment horizontal="center" wrapText="1"/>
      <protection hidden="1"/>
    </xf>
    <xf numFmtId="0" fontId="19" fillId="0" borderId="13" xfId="0" applyFont="1" applyFill="1" applyBorder="1" applyAlignment="1" applyProtection="1">
      <alignment horizontal="center" wrapText="1"/>
      <protection hidden="1"/>
    </xf>
    <xf numFmtId="4" fontId="0" fillId="32" borderId="15" xfId="0" applyNumberFormat="1" applyFont="1" applyFill="1" applyBorder="1" applyAlignment="1" applyProtection="1">
      <alignment/>
      <protection locked="0"/>
    </xf>
    <xf numFmtId="4" fontId="15" fillId="32" borderId="15" xfId="0" applyNumberFormat="1" applyFont="1" applyFill="1" applyBorder="1" applyAlignment="1" applyProtection="1">
      <alignment/>
      <protection locked="0"/>
    </xf>
    <xf numFmtId="4" fontId="0" fillId="4" borderId="15" xfId="0" applyNumberFormat="1" applyFont="1" applyFill="1" applyBorder="1" applyAlignment="1" applyProtection="1">
      <alignment/>
      <protection locked="0"/>
    </xf>
    <xf numFmtId="4" fontId="0" fillId="33" borderId="15" xfId="0" applyNumberFormat="1" applyFont="1" applyFill="1" applyBorder="1" applyAlignment="1" applyProtection="1">
      <alignment/>
      <protection locked="0"/>
    </xf>
    <xf numFmtId="4" fontId="15" fillId="33" borderId="15" xfId="0" applyNumberFormat="1" applyFont="1" applyFill="1" applyBorder="1" applyAlignment="1" applyProtection="1">
      <alignment/>
      <protection locked="0"/>
    </xf>
    <xf numFmtId="4" fontId="0" fillId="34" borderId="15" xfId="0" applyNumberFormat="1" applyFont="1" applyFill="1" applyBorder="1" applyAlignment="1" applyProtection="1">
      <alignment/>
      <protection locked="0"/>
    </xf>
    <xf numFmtId="4" fontId="0" fillId="35" borderId="15" xfId="0" applyNumberFormat="1" applyFont="1" applyFill="1" applyBorder="1" applyAlignment="1" applyProtection="1">
      <alignment/>
      <protection locked="0"/>
    </xf>
    <xf numFmtId="4" fontId="0" fillId="36" borderId="15" xfId="0" applyNumberFormat="1" applyFont="1" applyFill="1" applyBorder="1" applyAlignment="1" applyProtection="1">
      <alignment/>
      <protection locked="0"/>
    </xf>
    <xf numFmtId="0" fontId="72" fillId="0" borderId="16" xfId="0" applyFont="1" applyFill="1" applyBorder="1" applyAlignment="1" applyProtection="1">
      <alignment horizontal="center" wrapText="1"/>
      <protection hidden="1"/>
    </xf>
    <xf numFmtId="0" fontId="72" fillId="0" borderId="13" xfId="0" applyFont="1" applyFill="1" applyBorder="1" applyAlignment="1" applyProtection="1">
      <alignment horizontal="center" wrapText="1"/>
      <protection hidden="1"/>
    </xf>
    <xf numFmtId="209" fontId="9" fillId="0" borderId="15" xfId="0" applyNumberFormat="1" applyFont="1" applyBorder="1" applyAlignment="1">
      <alignment horizontal="center" vertical="top" wrapText="1"/>
    </xf>
    <xf numFmtId="4" fontId="21" fillId="38" borderId="15" xfId="0" applyNumberFormat="1" applyFont="1" applyFill="1" applyBorder="1" applyAlignment="1" applyProtection="1">
      <alignment horizontal="center" vertical="center" wrapText="1"/>
      <protection hidden="1"/>
    </xf>
    <xf numFmtId="4" fontId="73" fillId="38" borderId="15" xfId="0" applyNumberFormat="1" applyFont="1" applyFill="1" applyBorder="1" applyAlignment="1" applyProtection="1">
      <alignment horizontal="center" vertical="center" wrapText="1"/>
      <protection hidden="1"/>
    </xf>
    <xf numFmtId="4" fontId="73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2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14" fontId="9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3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28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0" xfId="0" applyFont="1" applyBorder="1" applyAlignment="1">
      <alignment/>
    </xf>
    <xf numFmtId="4" fontId="9" fillId="0" borderId="20" xfId="0" applyNumberFormat="1" applyFont="1" applyBorder="1" applyAlignment="1">
      <alignment/>
    </xf>
    <xf numFmtId="4" fontId="9" fillId="0" borderId="20" xfId="0" applyNumberFormat="1" applyFont="1" applyBorder="1" applyAlignment="1">
      <alignment horizontal="center"/>
    </xf>
    <xf numFmtId="4" fontId="9" fillId="0" borderId="34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5" xfId="0" applyFont="1" applyBorder="1" applyAlignment="1">
      <alignment horizontal="center" vertical="top" wrapText="1"/>
    </xf>
    <xf numFmtId="2" fontId="12" fillId="0" borderId="35" xfId="0" applyNumberFormat="1" applyFont="1" applyBorder="1" applyAlignment="1">
      <alignment vertical="top" wrapText="1"/>
    </xf>
    <xf numFmtId="4" fontId="12" fillId="0" borderId="35" xfId="0" applyNumberFormat="1" applyFont="1" applyBorder="1" applyAlignment="1">
      <alignment horizontal="right" vertical="center" wrapText="1"/>
    </xf>
    <xf numFmtId="0" fontId="12" fillId="0" borderId="36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14" fontId="12" fillId="0" borderId="0" xfId="0" applyNumberFormat="1" applyFont="1" applyAlignment="1">
      <alignment horizontal="left" vertical="top" wrapText="1"/>
    </xf>
    <xf numFmtId="0" fontId="30" fillId="0" borderId="36" xfId="0" applyFont="1" applyBorder="1" applyAlignment="1">
      <alignment horizontal="center" vertical="top" wrapText="1"/>
    </xf>
    <xf numFmtId="4" fontId="12" fillId="0" borderId="17" xfId="0" applyNumberFormat="1" applyFont="1" applyBorder="1" applyAlignment="1">
      <alignment horizontal="left" vertical="top" wrapText="1"/>
    </xf>
    <xf numFmtId="4" fontId="12" fillId="0" borderId="16" xfId="0" applyNumberFormat="1" applyFont="1" applyBorder="1" applyAlignment="1">
      <alignment horizontal="left" vertical="top" wrapText="1"/>
    </xf>
    <xf numFmtId="0" fontId="31" fillId="39" borderId="38" xfId="0" applyFont="1" applyFill="1" applyBorder="1" applyAlignment="1">
      <alignment/>
    </xf>
    <xf numFmtId="0" fontId="8" fillId="39" borderId="39" xfId="0" applyFont="1" applyFill="1" applyBorder="1" applyAlignment="1">
      <alignment/>
    </xf>
    <xf numFmtId="0" fontId="31" fillId="39" borderId="40" xfId="0" applyFont="1" applyFill="1" applyBorder="1" applyAlignment="1">
      <alignment/>
    </xf>
    <xf numFmtId="0" fontId="12" fillId="0" borderId="0" xfId="0" applyFont="1" applyAlignment="1">
      <alignment/>
    </xf>
    <xf numFmtId="0" fontId="31" fillId="40" borderId="25" xfId="0" applyFont="1" applyFill="1" applyBorder="1" applyAlignment="1">
      <alignment wrapText="1"/>
    </xf>
    <xf numFmtId="0" fontId="8" fillId="40" borderId="24" xfId="0" applyFont="1" applyFill="1" applyBorder="1" applyAlignment="1">
      <alignment/>
    </xf>
    <xf numFmtId="0" fontId="31" fillId="40" borderId="41" xfId="0" applyFont="1" applyFill="1" applyBorder="1" applyAlignment="1">
      <alignment/>
    </xf>
    <xf numFmtId="0" fontId="32" fillId="0" borderId="15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74" fillId="39" borderId="15" xfId="0" applyFont="1" applyFill="1" applyBorder="1" applyAlignment="1">
      <alignment vertical="center" wrapText="1"/>
    </xf>
    <xf numFmtId="0" fontId="75" fillId="39" borderId="15" xfId="0" applyFont="1" applyFill="1" applyBorder="1" applyAlignment="1">
      <alignment vertical="center" wrapText="1"/>
    </xf>
    <xf numFmtId="0" fontId="12" fillId="39" borderId="15" xfId="0" applyFont="1" applyFill="1" applyBorder="1" applyAlignment="1">
      <alignment/>
    </xf>
    <xf numFmtId="0" fontId="74" fillId="39" borderId="15" xfId="0" applyFont="1" applyFill="1" applyBorder="1" applyAlignment="1">
      <alignment horizontal="left" vertical="center"/>
    </xf>
    <xf numFmtId="0" fontId="75" fillId="39" borderId="15" xfId="0" applyNumberFormat="1" applyFont="1" applyFill="1" applyBorder="1" applyAlignment="1">
      <alignment horizontal="left" wrapText="1"/>
    </xf>
    <xf numFmtId="0" fontId="12" fillId="39" borderId="15" xfId="0" applyFont="1" applyFill="1" applyBorder="1" applyAlignment="1">
      <alignment horizontal="center" vertical="center"/>
    </xf>
    <xf numFmtId="0" fontId="12" fillId="39" borderId="15" xfId="0" applyFont="1" applyFill="1" applyBorder="1" applyAlignment="1">
      <alignment horizontal="left" vertical="center"/>
    </xf>
    <xf numFmtId="0" fontId="12" fillId="39" borderId="15" xfId="0" applyFont="1" applyFill="1" applyBorder="1" applyAlignment="1">
      <alignment horizontal="left"/>
    </xf>
    <xf numFmtId="0" fontId="74" fillId="40" borderId="15" xfId="0" applyFont="1" applyFill="1" applyBorder="1" applyAlignment="1">
      <alignment/>
    </xf>
    <xf numFmtId="0" fontId="75" fillId="40" borderId="15" xfId="0" applyFont="1" applyFill="1" applyBorder="1" applyAlignment="1">
      <alignment/>
    </xf>
    <xf numFmtId="0" fontId="12" fillId="40" borderId="15" xfId="0" applyFont="1" applyFill="1" applyBorder="1" applyAlignment="1">
      <alignment/>
    </xf>
    <xf numFmtId="0" fontId="74" fillId="39" borderId="15" xfId="0" applyFont="1" applyFill="1" applyBorder="1" applyAlignment="1">
      <alignment/>
    </xf>
    <xf numFmtId="0" fontId="75" fillId="39" borderId="15" xfId="0" applyFont="1" applyFill="1" applyBorder="1" applyAlignment="1">
      <alignment/>
    </xf>
    <xf numFmtId="0" fontId="76" fillId="40" borderId="15" xfId="0" applyFont="1" applyFill="1" applyBorder="1" applyAlignment="1">
      <alignment/>
    </xf>
    <xf numFmtId="0" fontId="77" fillId="40" borderId="15" xfId="0" applyFont="1" applyFill="1" applyBorder="1" applyAlignment="1">
      <alignment/>
    </xf>
    <xf numFmtId="0" fontId="74" fillId="40" borderId="15" xfId="0" applyFont="1" applyFill="1" applyBorder="1" applyAlignment="1">
      <alignment vertical="center" wrapText="1"/>
    </xf>
    <xf numFmtId="0" fontId="75" fillId="40" borderId="15" xfId="0" applyFont="1" applyFill="1" applyBorder="1" applyAlignment="1">
      <alignment vertical="center" wrapText="1"/>
    </xf>
    <xf numFmtId="0" fontId="12" fillId="39" borderId="15" xfId="0" applyFont="1" applyFill="1" applyBorder="1" applyAlignment="1">
      <alignment vertical="center"/>
    </xf>
    <xf numFmtId="0" fontId="12" fillId="40" borderId="15" xfId="0" applyFont="1" applyFill="1" applyBorder="1" applyAlignment="1">
      <alignment vertical="center"/>
    </xf>
    <xf numFmtId="0" fontId="12" fillId="40" borderId="15" xfId="0" applyFont="1" applyFill="1" applyBorder="1" applyAlignment="1">
      <alignment horizontal="left" vertical="center"/>
    </xf>
    <xf numFmtId="0" fontId="74" fillId="39" borderId="15" xfId="0" applyFont="1" applyFill="1" applyBorder="1" applyAlignment="1">
      <alignment horizontal="left" vertical="center" wrapText="1"/>
    </xf>
    <xf numFmtId="0" fontId="75" fillId="39" borderId="15" xfId="0" applyFont="1" applyFill="1" applyBorder="1" applyAlignment="1">
      <alignment horizontal="left" vertical="center"/>
    </xf>
    <xf numFmtId="0" fontId="75" fillId="40" borderId="15" xfId="0" applyFont="1" applyFill="1" applyBorder="1" applyAlignment="1">
      <alignment wrapText="1"/>
    </xf>
    <xf numFmtId="0" fontId="74" fillId="40" borderId="15" xfId="0" applyFont="1" applyFill="1" applyBorder="1" applyAlignment="1">
      <alignment wrapText="1"/>
    </xf>
    <xf numFmtId="0" fontId="74" fillId="39" borderId="15" xfId="0" applyFont="1" applyFill="1" applyBorder="1" applyAlignment="1">
      <alignment wrapText="1"/>
    </xf>
    <xf numFmtId="0" fontId="75" fillId="39" borderId="15" xfId="0" applyFont="1" applyFill="1" applyBorder="1" applyAlignment="1">
      <alignment wrapText="1"/>
    </xf>
    <xf numFmtId="0" fontId="74" fillId="40" borderId="15" xfId="0" applyFont="1" applyFill="1" applyBorder="1" applyAlignment="1">
      <alignment horizontal="left" wrapText="1"/>
    </xf>
    <xf numFmtId="0" fontId="74" fillId="39" borderId="15" xfId="0" applyFont="1" applyFill="1" applyBorder="1" applyAlignment="1">
      <alignment horizontal="left" wrapText="1"/>
    </xf>
    <xf numFmtId="0" fontId="12" fillId="40" borderId="15" xfId="0" applyFont="1" applyFill="1" applyBorder="1" applyAlignment="1">
      <alignment/>
    </xf>
    <xf numFmtId="0" fontId="76" fillId="40" borderId="15" xfId="0" applyFont="1" applyFill="1" applyBorder="1" applyAlignment="1">
      <alignment wrapText="1"/>
    </xf>
    <xf numFmtId="0" fontId="77" fillId="40" borderId="15" xfId="0" applyFont="1" applyFill="1" applyBorder="1" applyAlignment="1">
      <alignment wrapText="1"/>
    </xf>
    <xf numFmtId="0" fontId="12" fillId="40" borderId="15" xfId="0" applyFont="1" applyFill="1" applyBorder="1" applyAlignment="1">
      <alignment wrapText="1"/>
    </xf>
    <xf numFmtId="0" fontId="0" fillId="33" borderId="12" xfId="0" applyNumberFormat="1" applyFill="1" applyBorder="1" applyAlignment="1" applyProtection="1">
      <alignment horizontal="center" vertical="center"/>
      <protection locked="0"/>
    </xf>
    <xf numFmtId="0" fontId="0" fillId="33" borderId="13" xfId="0" applyNumberFormat="1" applyFill="1" applyBorder="1" applyAlignment="1" applyProtection="1">
      <alignment horizontal="center" vertical="center"/>
      <protection locked="0"/>
    </xf>
    <xf numFmtId="196" fontId="0" fillId="34" borderId="12" xfId="0" applyNumberFormat="1" applyFill="1" applyBorder="1" applyAlignment="1" applyProtection="1">
      <alignment horizontal="center" vertical="center"/>
      <protection locked="0"/>
    </xf>
    <xf numFmtId="196" fontId="0" fillId="34" borderId="13" xfId="0" applyNumberFormat="1" applyFill="1" applyBorder="1" applyAlignment="1" applyProtection="1">
      <alignment horizontal="center" vertical="center"/>
      <protection locked="0"/>
    </xf>
    <xf numFmtId="219" fontId="1" fillId="0" borderId="15" xfId="0" applyNumberFormat="1" applyFont="1" applyBorder="1" applyAlignment="1" applyProtection="1">
      <alignment horizontal="center" vertical="center"/>
      <protection locked="0"/>
    </xf>
    <xf numFmtId="0" fontId="0" fillId="34" borderId="12" xfId="0" applyNumberFormat="1" applyFill="1" applyBorder="1" applyAlignment="1" applyProtection="1">
      <alignment horizontal="center" vertical="center"/>
      <protection locked="0"/>
    </xf>
    <xf numFmtId="0" fontId="0" fillId="34" borderId="13" xfId="0" applyNumberFormat="1" applyFill="1" applyBorder="1" applyAlignment="1" applyProtection="1">
      <alignment horizontal="center" vertical="center"/>
      <protection locked="0"/>
    </xf>
    <xf numFmtId="196" fontId="0" fillId="33" borderId="12" xfId="0" applyNumberFormat="1" applyFill="1" applyBorder="1" applyAlignment="1" applyProtection="1">
      <alignment horizontal="center" vertical="center"/>
      <protection locked="0"/>
    </xf>
    <xf numFmtId="196" fontId="0" fillId="33" borderId="13" xfId="0" applyNumberForma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178" fontId="1" fillId="0" borderId="12" xfId="0" applyNumberFormat="1" applyFont="1" applyBorder="1" applyAlignment="1">
      <alignment horizontal="center" vertical="center" textRotation="255"/>
    </xf>
    <xf numFmtId="178" fontId="1" fillId="0" borderId="14" xfId="0" applyNumberFormat="1" applyFont="1" applyBorder="1" applyAlignment="1">
      <alignment horizontal="center" vertical="center" textRotation="255"/>
    </xf>
    <xf numFmtId="178" fontId="1" fillId="0" borderId="13" xfId="0" applyNumberFormat="1" applyFont="1" applyBorder="1" applyAlignment="1">
      <alignment horizontal="center" vertical="center" textRotation="255"/>
    </xf>
    <xf numFmtId="0" fontId="0" fillId="33" borderId="35" xfId="0" applyNumberFormat="1" applyFill="1" applyBorder="1" applyAlignment="1" applyProtection="1">
      <alignment horizontal="center" vertical="center"/>
      <protection locked="0"/>
    </xf>
    <xf numFmtId="0" fontId="0" fillId="33" borderId="11" xfId="0" applyNumberForma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37" xfId="0" applyNumberFormat="1" applyFill="1" applyBorder="1" applyAlignment="1" applyProtection="1">
      <alignment horizontal="center" vertical="center"/>
      <protection locked="0"/>
    </xf>
    <xf numFmtId="0" fontId="0" fillId="33" borderId="16" xfId="0" applyNumberFormat="1" applyFill="1" applyBorder="1" applyAlignment="1" applyProtection="1">
      <alignment horizontal="center" vertical="center"/>
      <protection locked="0"/>
    </xf>
    <xf numFmtId="0" fontId="0" fillId="33" borderId="42" xfId="0" applyNumberFormat="1" applyFill="1" applyBorder="1" applyAlignment="1" applyProtection="1">
      <alignment horizontal="center" vertical="center"/>
      <protection locked="0"/>
    </xf>
    <xf numFmtId="196" fontId="0" fillId="33" borderId="17" xfId="0" applyNumberFormat="1" applyFill="1" applyBorder="1" applyAlignment="1" applyProtection="1">
      <alignment horizontal="center" vertical="center"/>
      <protection locked="0"/>
    </xf>
    <xf numFmtId="196" fontId="0" fillId="33" borderId="37" xfId="0" applyNumberFormat="1" applyFill="1" applyBorder="1" applyAlignment="1" applyProtection="1">
      <alignment horizontal="center" vertical="center"/>
      <protection locked="0"/>
    </xf>
    <xf numFmtId="196" fontId="0" fillId="33" borderId="16" xfId="0" applyNumberFormat="1" applyFill="1" applyBorder="1" applyAlignment="1" applyProtection="1">
      <alignment horizontal="center" vertical="center"/>
      <protection locked="0"/>
    </xf>
    <xf numFmtId="196" fontId="0" fillId="33" borderId="42" xfId="0" applyNumberForma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wrapText="1"/>
    </xf>
    <xf numFmtId="196" fontId="0" fillId="33" borderId="35" xfId="0" applyNumberFormat="1" applyFill="1" applyBorder="1" applyAlignment="1" applyProtection="1">
      <alignment horizontal="center" vertical="center"/>
      <protection locked="0"/>
    </xf>
    <xf numFmtId="196" fontId="0" fillId="33" borderId="11" xfId="0" applyNumberFormat="1" applyFill="1" applyBorder="1" applyAlignment="1" applyProtection="1">
      <alignment horizontal="center" vertical="center"/>
      <protection locked="0"/>
    </xf>
    <xf numFmtId="0" fontId="21" fillId="34" borderId="43" xfId="0" applyFont="1" applyFill="1" applyBorder="1" applyAlignment="1" applyProtection="1">
      <alignment vertical="center" textRotation="255"/>
      <protection hidden="1"/>
    </xf>
    <xf numFmtId="0" fontId="21" fillId="34" borderId="25" xfId="0" applyFont="1" applyFill="1" applyBorder="1" applyAlignment="1" applyProtection="1">
      <alignment vertical="center" textRotation="255"/>
      <protection hidden="1"/>
    </xf>
    <xf numFmtId="0" fontId="21" fillId="33" borderId="43" xfId="0" applyFont="1" applyFill="1" applyBorder="1" applyAlignment="1" applyProtection="1">
      <alignment horizontal="center" vertical="center" textRotation="255"/>
      <protection hidden="1"/>
    </xf>
    <xf numFmtId="0" fontId="21" fillId="33" borderId="32" xfId="0" applyFont="1" applyFill="1" applyBorder="1" applyAlignment="1" applyProtection="1">
      <alignment horizontal="center" vertical="center" textRotation="255"/>
      <protection hidden="1"/>
    </xf>
    <xf numFmtId="0" fontId="25" fillId="0" borderId="44" xfId="0" applyFont="1" applyBorder="1" applyAlignment="1" applyProtection="1">
      <alignment horizontal="center" vertical="center" wrapText="1"/>
      <protection hidden="1"/>
    </xf>
    <xf numFmtId="0" fontId="25" fillId="0" borderId="24" xfId="0" applyFont="1" applyBorder="1" applyAlignment="1" applyProtection="1">
      <alignment horizontal="center" vertical="center" wrapText="1"/>
      <protection hidden="1"/>
    </xf>
    <xf numFmtId="2" fontId="20" fillId="0" borderId="35" xfId="0" applyNumberFormat="1" applyFont="1" applyFill="1" applyBorder="1" applyAlignment="1" applyProtection="1">
      <alignment horizontal="center" vertical="center" wrapText="1"/>
      <protection hidden="1"/>
    </xf>
    <xf numFmtId="2" fontId="20" fillId="0" borderId="45" xfId="0" applyNumberFormat="1" applyFont="1" applyFill="1" applyBorder="1" applyAlignment="1" applyProtection="1">
      <alignment horizontal="center" vertical="center" wrapText="1"/>
      <protection hidden="1"/>
    </xf>
    <xf numFmtId="2" fontId="2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46" xfId="0" applyFont="1" applyBorder="1" applyAlignment="1" applyProtection="1">
      <alignment horizontal="center" vertical="center" wrapText="1"/>
      <protection hidden="1"/>
    </xf>
    <xf numFmtId="0" fontId="24" fillId="0" borderId="25" xfId="0" applyFont="1" applyBorder="1" applyAlignment="1" applyProtection="1">
      <alignment horizontal="center" vertical="center" wrapText="1"/>
      <protection hidden="1"/>
    </xf>
    <xf numFmtId="0" fontId="24" fillId="0" borderId="44" xfId="0" applyFont="1" applyBorder="1" applyAlignment="1" applyProtection="1">
      <alignment horizontal="center" vertical="center" wrapText="1"/>
      <protection hidden="1"/>
    </xf>
    <xf numFmtId="0" fontId="24" fillId="0" borderId="24" xfId="0" applyFont="1" applyBorder="1" applyAlignment="1" applyProtection="1">
      <alignment horizontal="center" vertical="center" wrapText="1"/>
      <protection hidden="1"/>
    </xf>
    <xf numFmtId="0" fontId="10" fillId="0" borderId="26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0" fillId="0" borderId="29" xfId="0" applyFont="1" applyBorder="1" applyAlignment="1" applyProtection="1">
      <alignment horizontal="center" vertical="center" wrapText="1"/>
      <protection hidden="1"/>
    </xf>
    <xf numFmtId="0" fontId="10" fillId="0" borderId="30" xfId="0" applyFont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/>
      <protection hidden="1"/>
    </xf>
    <xf numFmtId="0" fontId="19" fillId="0" borderId="48" xfId="0" applyFont="1" applyFill="1" applyBorder="1" applyAlignment="1" applyProtection="1">
      <alignment horizontal="center" vertical="center"/>
      <protection hidden="1"/>
    </xf>
    <xf numFmtId="0" fontId="19" fillId="0" borderId="49" xfId="0" applyFont="1" applyFill="1" applyBorder="1" applyAlignment="1" applyProtection="1">
      <alignment horizontal="center" vertical="center"/>
      <protection hidden="1"/>
    </xf>
    <xf numFmtId="0" fontId="19" fillId="0" borderId="50" xfId="0" applyFont="1" applyFill="1" applyBorder="1" applyAlignment="1" applyProtection="1">
      <alignment horizontal="center" vertical="center"/>
      <protection hidden="1"/>
    </xf>
    <xf numFmtId="0" fontId="19" fillId="0" borderId="51" xfId="0" applyFont="1" applyFill="1" applyBorder="1" applyAlignment="1" applyProtection="1">
      <alignment horizontal="center" vertical="center"/>
      <protection hidden="1"/>
    </xf>
    <xf numFmtId="0" fontId="19" fillId="0" borderId="42" xfId="0" applyFont="1" applyFill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 wrapText="1"/>
      <protection hidden="1"/>
    </xf>
    <xf numFmtId="0" fontId="10" fillId="0" borderId="28" xfId="0" applyFont="1" applyBorder="1" applyAlignment="1" applyProtection="1">
      <alignment horizontal="center" vertical="center" wrapText="1"/>
      <protection hidden="1"/>
    </xf>
    <xf numFmtId="0" fontId="14" fillId="0" borderId="26" xfId="0" applyFont="1" applyBorder="1" applyAlignment="1" applyProtection="1">
      <alignment horizontal="center" vertical="center" wrapText="1"/>
      <protection hidden="1"/>
    </xf>
    <xf numFmtId="0" fontId="14" fillId="0" borderId="15" xfId="0" applyFont="1" applyBorder="1" applyAlignment="1" applyProtection="1">
      <alignment horizontal="center" vertical="center" wrapText="1"/>
      <protection hidden="1"/>
    </xf>
    <xf numFmtId="0" fontId="10" fillId="0" borderId="44" xfId="0" applyFont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 wrapText="1"/>
      <protection hidden="1"/>
    </xf>
    <xf numFmtId="3" fontId="1" fillId="4" borderId="20" xfId="0" applyNumberFormat="1" applyFont="1" applyFill="1" applyBorder="1" applyAlignment="1" applyProtection="1">
      <alignment horizontal="center" vertical="center"/>
      <protection hidden="1" locked="0"/>
    </xf>
    <xf numFmtId="3" fontId="1" fillId="4" borderId="34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52" xfId="0" applyFont="1" applyFill="1" applyBorder="1" applyAlignment="1" applyProtection="1">
      <alignment horizontal="center" vertical="center" wrapText="1"/>
      <protection hidden="1"/>
    </xf>
    <xf numFmtId="0" fontId="19" fillId="0" borderId="53" xfId="0" applyFont="1" applyFill="1" applyBorder="1" applyAlignment="1" applyProtection="1">
      <alignment horizontal="center" vertical="center" wrapText="1"/>
      <protection hidden="1"/>
    </xf>
    <xf numFmtId="0" fontId="5" fillId="0" borderId="54" xfId="0" applyFont="1" applyBorder="1" applyAlignment="1">
      <alignment vertical="top" wrapText="1"/>
    </xf>
    <xf numFmtId="0" fontId="5" fillId="0" borderId="55" xfId="0" applyFont="1" applyBorder="1" applyAlignment="1">
      <alignment vertical="top" wrapText="1"/>
    </xf>
    <xf numFmtId="0" fontId="5" fillId="0" borderId="54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36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56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50" xfId="0" applyFont="1" applyBorder="1" applyAlignment="1">
      <alignment horizontal="left" vertical="top" wrapText="1"/>
    </xf>
    <xf numFmtId="0" fontId="12" fillId="0" borderId="57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45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3" fontId="9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27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54" xfId="0" applyFont="1" applyBorder="1" applyAlignment="1">
      <alignment horizontal="center" vertical="top" wrapText="1"/>
    </xf>
    <xf numFmtId="0" fontId="9" fillId="0" borderId="5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60" xfId="0" applyFont="1" applyBorder="1" applyAlignment="1">
      <alignment horizontal="center" vertical="top" wrapText="1"/>
    </xf>
    <xf numFmtId="0" fontId="9" fillId="0" borderId="61" xfId="0" applyFont="1" applyBorder="1" applyAlignment="1">
      <alignment horizontal="center" vertical="top" wrapText="1"/>
    </xf>
    <xf numFmtId="0" fontId="9" fillId="0" borderId="62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3;&#1086;&#1083;&#1086;&#1074;&#1085;&#1086;&#1081;%20&#1041;&#1072;&#1085;&#1082;\&#1050;&#1088;&#1077;&#1076;&#1080;&#1090;&#1085;&#1086;-&#1101;&#1082;&#1086;&#1085;&#1086;&#1084;&#1080;&#1095;&#1077;&#1089;&#1082;&#1086;&#1077;%20&#1091;&#1087;&#1088;&#1072;&#1074;&#1083;&#1077;&#1085;&#1080;&#1077;\&#1054;&#1090;&#1076;&#1077;&#1083;%20&#1082;&#1088;&#1077;&#1076;&#1080;&#1090;&#1086;&#1074;&#1072;&#1085;&#1080;&#1103;%20&#1092;&#1080;&#1079;%20&#1083;&#1080;&#1094;\!&#1044;&#1086;&#1082;&#1091;&#1084;&#1077;&#1085;&#1090;&#1099;%20&#1086;&#1090;&#1076;&#1077;&#1083;&#1072;\&#1043;&#1054;&#1052;&#1040;&#1053;\&#1055;&#1055;&#1057;\2020\01-08-2020\&#1056;&#1072;&#1089;&#1095;&#1077;&#1090;%20&#1082;&#1088;&#1077;&#1076;&#1080;&#1090;&#1072;_01.08.2020%20-%20&#1055;&#1086;&#1077;&#1093;&#1072;&#1083;&#1080;!%20&#1057;...%20K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2;&#1088;&#1077;&#1076;&#1080;&#1090;&#1072;_12.10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менные"/>
      <sheetName val="Счета-ком.за выдачу"/>
      <sheetName val="Расчет"/>
      <sheetName val="Тарифы"/>
      <sheetName val="памятка Поехали"/>
      <sheetName val="График-Поехали"/>
      <sheetName val="КП1"/>
      <sheetName val="КП2"/>
      <sheetName val="КП3"/>
      <sheetName val="КП4"/>
      <sheetName val="График-Поехали! Атлант-М КП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менные"/>
      <sheetName val="Счета-ком.за выдачу"/>
      <sheetName val="Расчет"/>
      <sheetName val="Изв.-справка"/>
      <sheetName val="Изв.-Изменения в договор"/>
      <sheetName val="Тарифы"/>
      <sheetName val="Регламент"/>
      <sheetName val="Список Овер Премиум"/>
      <sheetName val="Партнеры по рассрочке"/>
      <sheetName val="+"/>
      <sheetName val="Классик"/>
      <sheetName val="НКЛ"/>
      <sheetName val="На карман"/>
      <sheetName val="ОК-ЛАЙТ"/>
      <sheetName val="На полгода"/>
      <sheetName val="Купляй!by"/>
      <sheetName val="OK 4 года"/>
      <sheetName val="OK 2 года"/>
      <sheetName val="Рассрочка"/>
      <sheetName val="РЕФ"/>
      <sheetName val="Овер ЗП (Базовый)"/>
      <sheetName val="Овер ЗП (Премиум)"/>
      <sheetName val="Global card"/>
      <sheetName val="Моцная картка"/>
      <sheetName val="ТАЛАКА"/>
      <sheetName val="GREEN"/>
      <sheetName val="График-Классик"/>
      <sheetName val="График-На карман"/>
      <sheetName val="График-НКЛ"/>
      <sheetName val="График Купляй! BY"/>
      <sheetName val="График-рассрочка"/>
      <sheetName val="График-РЕФ - 4"/>
      <sheetName val="График-РЕФ - 7"/>
      <sheetName val="График-ЛАЙТ"/>
      <sheetName val="График-На полгода"/>
      <sheetName val="График-ОК - 4"/>
      <sheetName val="График-ОК - 2"/>
      <sheetName val="ONLINE"/>
    </sheetNames>
    <sheetDataSet>
      <sheetData sheetId="2">
        <row r="16">
          <cell r="R16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/>
  <dimension ref="A1:K46"/>
  <sheetViews>
    <sheetView zoomScalePageLayoutView="0" workbookViewId="0" topLeftCell="A19">
      <selection activeCell="B47" sqref="B47"/>
    </sheetView>
  </sheetViews>
  <sheetFormatPr defaultColWidth="9.00390625" defaultRowHeight="12.75"/>
  <cols>
    <col min="1" max="1" width="46.50390625" style="0" bestFit="1" customWidth="1"/>
    <col min="2" max="2" width="12.125" style="0" customWidth="1"/>
    <col min="3" max="3" width="11.50390625" style="0" customWidth="1"/>
    <col min="4" max="4" width="12.50390625" style="0" customWidth="1"/>
    <col min="5" max="5" width="12.50390625" style="5" customWidth="1"/>
    <col min="6" max="6" width="4.50390625" style="0" customWidth="1"/>
    <col min="8" max="8" width="7.875" style="0" customWidth="1"/>
    <col min="9" max="9" width="8.50390625" style="0" customWidth="1"/>
    <col min="10" max="10" width="11.00390625" style="0" customWidth="1"/>
    <col min="11" max="11" width="11.875" style="0" customWidth="1"/>
    <col min="13" max="13" width="5.875" style="0" customWidth="1"/>
  </cols>
  <sheetData>
    <row r="1" spans="1:11" ht="36.75" customHeight="1">
      <c r="A1" s="231" t="s">
        <v>2</v>
      </c>
      <c r="B1" s="233" t="s">
        <v>3</v>
      </c>
      <c r="C1" s="233" t="s">
        <v>4</v>
      </c>
      <c r="D1" s="235" t="s">
        <v>5</v>
      </c>
      <c r="E1" s="74"/>
      <c r="F1" s="237" t="s">
        <v>20</v>
      </c>
      <c r="G1" s="242" t="s">
        <v>12</v>
      </c>
      <c r="H1" s="251" t="s">
        <v>13</v>
      </c>
      <c r="I1" s="251"/>
      <c r="J1" s="251" t="s">
        <v>21</v>
      </c>
      <c r="K1" s="251"/>
    </row>
    <row r="2" spans="1:11" ht="26.25">
      <c r="A2" s="232"/>
      <c r="B2" s="234"/>
      <c r="C2" s="234"/>
      <c r="D2" s="236"/>
      <c r="E2" s="74"/>
      <c r="F2" s="238"/>
      <c r="G2" s="242"/>
      <c r="H2" s="71" t="s">
        <v>3</v>
      </c>
      <c r="I2" s="71" t="s">
        <v>4</v>
      </c>
      <c r="J2" s="71" t="s">
        <v>3</v>
      </c>
      <c r="K2" s="71" t="s">
        <v>4</v>
      </c>
    </row>
    <row r="3" spans="1:11" ht="12.75">
      <c r="A3" s="29" t="s">
        <v>75</v>
      </c>
      <c r="B3" s="128">
        <v>15.5</v>
      </c>
      <c r="C3" s="30">
        <f>B3-D3</f>
        <v>14.5</v>
      </c>
      <c r="D3" s="30">
        <v>1</v>
      </c>
      <c r="E3" s="75"/>
      <c r="F3" s="238"/>
      <c r="G3" s="61" t="s">
        <v>98</v>
      </c>
      <c r="H3" s="61" t="s">
        <v>98</v>
      </c>
      <c r="I3" s="61" t="s">
        <v>98</v>
      </c>
      <c r="J3" s="61" t="s">
        <v>98</v>
      </c>
      <c r="K3" s="61" t="s">
        <v>98</v>
      </c>
    </row>
    <row r="4" spans="1:11" ht="12.75">
      <c r="A4" s="29" t="s">
        <v>74</v>
      </c>
      <c r="B4" s="128">
        <v>15.5</v>
      </c>
      <c r="C4" s="30">
        <f>B4-D4</f>
        <v>14.5</v>
      </c>
      <c r="D4" s="30">
        <v>1</v>
      </c>
      <c r="E4" s="75"/>
      <c r="F4" s="238"/>
      <c r="G4" s="61" t="s">
        <v>98</v>
      </c>
      <c r="H4" s="61" t="s">
        <v>98</v>
      </c>
      <c r="I4" s="61" t="s">
        <v>98</v>
      </c>
      <c r="J4" s="61" t="s">
        <v>98</v>
      </c>
      <c r="K4" s="61" t="s">
        <v>98</v>
      </c>
    </row>
    <row r="5" spans="1:11" ht="12.75">
      <c r="A5" s="29" t="s">
        <v>62</v>
      </c>
      <c r="B5" s="129">
        <v>12</v>
      </c>
      <c r="C5" s="61" t="s">
        <v>98</v>
      </c>
      <c r="D5" s="61" t="s">
        <v>98</v>
      </c>
      <c r="E5" s="76"/>
      <c r="F5" s="238"/>
      <c r="G5" s="61" t="s">
        <v>98</v>
      </c>
      <c r="H5" s="61" t="s">
        <v>98</v>
      </c>
      <c r="I5" s="61" t="s">
        <v>98</v>
      </c>
      <c r="J5" s="61" t="s">
        <v>98</v>
      </c>
      <c r="K5" s="61" t="s">
        <v>98</v>
      </c>
    </row>
    <row r="6" spans="1:11" ht="12.75">
      <c r="A6" s="31" t="s">
        <v>76</v>
      </c>
      <c r="B6" s="130">
        <v>15.5</v>
      </c>
      <c r="C6" s="32">
        <f aca="true" t="shared" si="0" ref="C6:C16">B6-D6</f>
        <v>14.5</v>
      </c>
      <c r="D6" s="32">
        <v>1</v>
      </c>
      <c r="E6" s="75"/>
      <c r="F6" s="238"/>
      <c r="G6" s="66" t="s">
        <v>98</v>
      </c>
      <c r="H6" s="66" t="s">
        <v>98</v>
      </c>
      <c r="I6" s="66" t="s">
        <v>98</v>
      </c>
      <c r="J6" s="66" t="s">
        <v>98</v>
      </c>
      <c r="K6" s="66" t="s">
        <v>98</v>
      </c>
    </row>
    <row r="7" spans="1:11" ht="12.75">
      <c r="A7" s="31" t="s">
        <v>77</v>
      </c>
      <c r="B7" s="130">
        <v>15.5</v>
      </c>
      <c r="C7" s="32">
        <f t="shared" si="0"/>
        <v>14.5</v>
      </c>
      <c r="D7" s="32">
        <v>1</v>
      </c>
      <c r="E7" s="75"/>
      <c r="F7" s="238"/>
      <c r="G7" s="66" t="s">
        <v>98</v>
      </c>
      <c r="H7" s="66" t="s">
        <v>98</v>
      </c>
      <c r="I7" s="66" t="s">
        <v>98</v>
      </c>
      <c r="J7" s="66" t="s">
        <v>98</v>
      </c>
      <c r="K7" s="66" t="s">
        <v>98</v>
      </c>
    </row>
    <row r="8" spans="1:11" ht="12.75">
      <c r="A8" s="33" t="s">
        <v>78</v>
      </c>
      <c r="B8" s="131">
        <v>14.9</v>
      </c>
      <c r="C8" s="65" t="s">
        <v>98</v>
      </c>
      <c r="D8" s="34">
        <v>0</v>
      </c>
      <c r="E8" s="75"/>
      <c r="F8" s="238"/>
      <c r="G8" s="222">
        <v>12</v>
      </c>
      <c r="H8" s="243">
        <f>B8/1200*((1+B8/1200)^G8)/(((1+B8/1200)^G8)-1)</f>
        <v>0.09021113205261287</v>
      </c>
      <c r="I8" s="244"/>
      <c r="J8" s="247" t="e">
        <f>ROUND(Расчет!#REF!*(B8/1200+((B8/1200)/((1+B8/1200)^12-1))),-3)</f>
        <v>#REF!</v>
      </c>
      <c r="K8" s="248"/>
    </row>
    <row r="9" spans="1:11" ht="12.75">
      <c r="A9" s="33" t="s">
        <v>79</v>
      </c>
      <c r="B9" s="131">
        <v>14.9</v>
      </c>
      <c r="C9" s="65" t="s">
        <v>98</v>
      </c>
      <c r="D9" s="34">
        <v>0</v>
      </c>
      <c r="E9" s="75"/>
      <c r="F9" s="238"/>
      <c r="G9" s="223"/>
      <c r="H9" s="245"/>
      <c r="I9" s="246"/>
      <c r="J9" s="249"/>
      <c r="K9" s="250"/>
    </row>
    <row r="10" spans="1:11" ht="12.75">
      <c r="A10" s="33" t="s">
        <v>92</v>
      </c>
      <c r="B10" s="132">
        <v>12.5</v>
      </c>
      <c r="C10" s="65" t="s">
        <v>98</v>
      </c>
      <c r="D10" s="34">
        <v>0</v>
      </c>
      <c r="E10" s="75"/>
      <c r="F10" s="238"/>
      <c r="G10" s="67">
        <v>6</v>
      </c>
      <c r="H10" s="240">
        <f>B10/1200*((1+B10/1200)^G10)/(((1+B10/1200)^G10)-1)</f>
        <v>0.17279552568429124</v>
      </c>
      <c r="I10" s="241"/>
      <c r="J10" s="252" t="e">
        <f>ROUND(Расчет!#REF!*(B10/1200+((B10/1200)/((1+B10/1200)^6-1))),-3)</f>
        <v>#REF!</v>
      </c>
      <c r="K10" s="253"/>
    </row>
    <row r="11" spans="1:11" ht="12.75">
      <c r="A11" s="33" t="s">
        <v>80</v>
      </c>
      <c r="B11" s="131">
        <v>15.55</v>
      </c>
      <c r="C11" s="34">
        <f>B11-D11</f>
        <v>15.55</v>
      </c>
      <c r="D11" s="34">
        <v>0</v>
      </c>
      <c r="E11" s="75"/>
      <c r="F11" s="238"/>
      <c r="G11" s="222">
        <v>48</v>
      </c>
      <c r="H11" s="222">
        <f>B11/1200*((1+B11/1200)^G11)/(((1+B11/1200)^G11)-1)</f>
        <v>0.02811034214401053</v>
      </c>
      <c r="I11" s="222">
        <f>C11/1200*((1+C11/1200)^G11)/(((1+C11/1200)^G11)-1)</f>
        <v>0.02811034214401053</v>
      </c>
      <c r="J11" s="229" t="e">
        <f>ROUND(Расчет!#REF!*(B11/1200+((B11/1200)/((1+B11/1200)^48-1))),-3)</f>
        <v>#REF!</v>
      </c>
      <c r="K11" s="229" t="e">
        <f>ROUND(Расчет!#REF!*(C11/1200+((C11/1200)/((1+C11/1200)^48-1))),-3)</f>
        <v>#REF!</v>
      </c>
    </row>
    <row r="12" spans="1:11" ht="12.75">
      <c r="A12" s="33" t="s">
        <v>81</v>
      </c>
      <c r="B12" s="131">
        <v>15.55</v>
      </c>
      <c r="C12" s="34">
        <f t="shared" si="0"/>
        <v>15.55</v>
      </c>
      <c r="D12" s="34">
        <v>0</v>
      </c>
      <c r="E12" s="75"/>
      <c r="F12" s="238"/>
      <c r="G12" s="223"/>
      <c r="H12" s="223"/>
      <c r="I12" s="223"/>
      <c r="J12" s="230"/>
      <c r="K12" s="230"/>
    </row>
    <row r="13" spans="1:11" ht="12.75">
      <c r="A13" s="33" t="s">
        <v>82</v>
      </c>
      <c r="B13" s="131">
        <v>15.55</v>
      </c>
      <c r="C13" s="34">
        <f t="shared" si="0"/>
        <v>15.55</v>
      </c>
      <c r="D13" s="34">
        <v>0</v>
      </c>
      <c r="E13" s="75"/>
      <c r="F13" s="238"/>
      <c r="G13" s="222">
        <v>24</v>
      </c>
      <c r="H13" s="222">
        <f>B13/1200*((1+B13/1200)^G13)/(((1+B13/1200)^G13)-1)</f>
        <v>0.04874836898373526</v>
      </c>
      <c r="I13" s="222">
        <f>C13/1200*((1+C13/1200)^G13)/(((1+C13/1200)^G13)-1)</f>
        <v>0.04874836898373526</v>
      </c>
      <c r="J13" s="229" t="e">
        <f>ROUND(Расчет!#REF!*(B13/1200+((B13/1200)/((1+B13/1200)^24-1))),-3)</f>
        <v>#REF!</v>
      </c>
      <c r="K13" s="229" t="e">
        <f>ROUND(Расчет!#REF!*(C13/1200+((C13/1200)/((1+C13/1200)^24-1))),-3)</f>
        <v>#REF!</v>
      </c>
    </row>
    <row r="14" spans="1:11" ht="12.75">
      <c r="A14" s="33" t="s">
        <v>83</v>
      </c>
      <c r="B14" s="131">
        <v>15.55</v>
      </c>
      <c r="C14" s="34">
        <f t="shared" si="0"/>
        <v>15.55</v>
      </c>
      <c r="D14" s="34">
        <v>0</v>
      </c>
      <c r="E14" s="75"/>
      <c r="F14" s="238"/>
      <c r="G14" s="223"/>
      <c r="H14" s="223"/>
      <c r="I14" s="223"/>
      <c r="J14" s="230"/>
      <c r="K14" s="230"/>
    </row>
    <row r="15" spans="1:11" ht="12.75">
      <c r="A15" s="35" t="s">
        <v>84</v>
      </c>
      <c r="B15" s="133">
        <v>15.55</v>
      </c>
      <c r="C15" s="36">
        <f>B15-D15</f>
        <v>15.55</v>
      </c>
      <c r="D15" s="34">
        <v>0</v>
      </c>
      <c r="E15" s="75"/>
      <c r="F15" s="238"/>
      <c r="G15" s="227">
        <v>48</v>
      </c>
      <c r="H15" s="227">
        <f>B15/1200*((1+B15/1200)^G15)/(((1+B15/1200)^G15)-1)</f>
        <v>0.02811034214401053</v>
      </c>
      <c r="I15" s="227">
        <f>C15/1200*((1+C15/1200)^G15)/(((1+C15/1200)^G15)-1)</f>
        <v>0.02811034214401053</v>
      </c>
      <c r="J15" s="224" t="e">
        <f>ROUND(Расчет!#REF!*(B15/1200+((B15/1200)/((1+B15/1200)^48-1))),-3)</f>
        <v>#REF!</v>
      </c>
      <c r="K15" s="224" t="e">
        <f>ROUND(Расчет!#REF!*(C15/1200+((C15/1200)/((1+C15/1200)^48-1))),-3)</f>
        <v>#REF!</v>
      </c>
    </row>
    <row r="16" spans="1:11" ht="12.75">
      <c r="A16" s="35" t="s">
        <v>85</v>
      </c>
      <c r="B16" s="133">
        <v>15.55</v>
      </c>
      <c r="C16" s="36">
        <f t="shared" si="0"/>
        <v>15.55</v>
      </c>
      <c r="D16" s="34">
        <v>0</v>
      </c>
      <c r="E16" s="75"/>
      <c r="F16" s="238"/>
      <c r="G16" s="228"/>
      <c r="H16" s="228"/>
      <c r="I16" s="228"/>
      <c r="J16" s="225"/>
      <c r="K16" s="225"/>
    </row>
    <row r="17" spans="1:11" ht="12.75">
      <c r="A17" s="37" t="s">
        <v>9</v>
      </c>
      <c r="B17" s="134">
        <v>15</v>
      </c>
      <c r="C17" s="68" t="s">
        <v>98</v>
      </c>
      <c r="D17" s="38">
        <v>0</v>
      </c>
      <c r="E17" s="75"/>
      <c r="F17" s="238"/>
      <c r="G17" s="68" t="s">
        <v>98</v>
      </c>
      <c r="H17" s="68" t="s">
        <v>98</v>
      </c>
      <c r="I17" s="68" t="s">
        <v>98</v>
      </c>
      <c r="J17" s="68" t="s">
        <v>98</v>
      </c>
      <c r="K17" s="68" t="s">
        <v>98</v>
      </c>
    </row>
    <row r="18" spans="1:11" ht="12.75">
      <c r="A18" s="39" t="s">
        <v>7</v>
      </c>
      <c r="B18" s="135">
        <v>16</v>
      </c>
      <c r="C18" s="69" t="s">
        <v>98</v>
      </c>
      <c r="D18" s="40">
        <v>0</v>
      </c>
      <c r="E18" s="75"/>
      <c r="F18" s="238"/>
      <c r="G18" s="69" t="s">
        <v>98</v>
      </c>
      <c r="H18" s="69" t="s">
        <v>98</v>
      </c>
      <c r="I18" s="69" t="s">
        <v>98</v>
      </c>
      <c r="J18" s="69" t="s">
        <v>98</v>
      </c>
      <c r="K18" s="69" t="s">
        <v>98</v>
      </c>
    </row>
    <row r="19" spans="1:11" ht="12.75">
      <c r="A19" s="39" t="s">
        <v>72</v>
      </c>
      <c r="B19" s="135">
        <v>16</v>
      </c>
      <c r="C19" s="69" t="s">
        <v>98</v>
      </c>
      <c r="D19" s="40">
        <v>0</v>
      </c>
      <c r="E19" s="75"/>
      <c r="F19" s="238"/>
      <c r="G19" s="69" t="s">
        <v>98</v>
      </c>
      <c r="H19" s="69" t="s">
        <v>98</v>
      </c>
      <c r="I19" s="69" t="s">
        <v>98</v>
      </c>
      <c r="J19" s="69" t="s">
        <v>98</v>
      </c>
      <c r="K19" s="69" t="s">
        <v>98</v>
      </c>
    </row>
    <row r="20" spans="1:11" ht="12.75">
      <c r="A20" s="39" t="s">
        <v>65</v>
      </c>
      <c r="B20" s="135">
        <v>16</v>
      </c>
      <c r="C20" s="69" t="s">
        <v>98</v>
      </c>
      <c r="D20" s="40">
        <v>0</v>
      </c>
      <c r="E20" s="75"/>
      <c r="F20" s="239"/>
      <c r="G20" s="69" t="s">
        <v>98</v>
      </c>
      <c r="H20" s="69" t="s">
        <v>98</v>
      </c>
      <c r="I20" s="69" t="s">
        <v>98</v>
      </c>
      <c r="J20" s="69" t="s">
        <v>98</v>
      </c>
      <c r="K20" s="69" t="s">
        <v>98</v>
      </c>
    </row>
    <row r="21" spans="1:11" ht="12.75">
      <c r="A21" s="79" t="s">
        <v>118</v>
      </c>
      <c r="B21" s="80">
        <v>9.99</v>
      </c>
      <c r="C21" s="81" t="s">
        <v>98</v>
      </c>
      <c r="D21" s="82">
        <v>0</v>
      </c>
      <c r="E21" s="75"/>
      <c r="F21" s="78"/>
      <c r="G21" s="76"/>
      <c r="H21" s="76"/>
      <c r="I21" s="76"/>
      <c r="J21" s="76"/>
      <c r="K21" s="76"/>
    </row>
    <row r="22" spans="1:6" ht="20.25" customHeight="1">
      <c r="A22" s="26"/>
      <c r="B22" s="26"/>
      <c r="C22" s="26"/>
      <c r="D22" s="26"/>
      <c r="E22" s="77"/>
      <c r="F22" s="26"/>
    </row>
    <row r="23" spans="1:5" ht="12.75">
      <c r="A23" s="25" t="s">
        <v>73</v>
      </c>
      <c r="B23" s="47" t="s">
        <v>98</v>
      </c>
      <c r="C23" s="26"/>
      <c r="D23" s="26"/>
      <c r="E23" s="77"/>
    </row>
    <row r="24" spans="1:6" ht="12.75">
      <c r="A24" s="25" t="s">
        <v>89</v>
      </c>
      <c r="B24" s="100">
        <v>522.13</v>
      </c>
      <c r="C24" s="226">
        <f>IF(Расчет!F3=1,Переменные!B25,Переменные!B24)</f>
        <v>522.13</v>
      </c>
      <c r="D24" s="26"/>
      <c r="E24" s="77"/>
      <c r="F24" s="26"/>
    </row>
    <row r="25" spans="1:5" ht="12.75">
      <c r="A25" s="25" t="s">
        <v>90</v>
      </c>
      <c r="B25" s="100">
        <v>404.52</v>
      </c>
      <c r="C25" s="226"/>
      <c r="D25" s="26"/>
      <c r="E25" s="77"/>
    </row>
    <row r="26" spans="1:2" ht="12.75">
      <c r="A26" s="24" t="s">
        <v>100</v>
      </c>
      <c r="B26" s="50">
        <f>Расчет!B3*0.35</f>
        <v>315</v>
      </c>
    </row>
    <row r="27" spans="1:2" ht="12.75">
      <c r="A27" s="24" t="s">
        <v>6</v>
      </c>
      <c r="B27" s="51">
        <f>B26-Расчет!E3</f>
        <v>315</v>
      </c>
    </row>
    <row r="28" ht="20.25" customHeight="1"/>
    <row r="29" spans="1:2" ht="15">
      <c r="A29" s="20" t="s">
        <v>0</v>
      </c>
      <c r="B29" s="19" t="s">
        <v>64</v>
      </c>
    </row>
    <row r="30" spans="1:2" ht="15">
      <c r="A30" s="23"/>
      <c r="B30" s="19" t="s">
        <v>99</v>
      </c>
    </row>
    <row r="31" spans="1:2" ht="15">
      <c r="A31" s="22" t="s">
        <v>1</v>
      </c>
      <c r="B31" s="19" t="s">
        <v>96</v>
      </c>
    </row>
    <row r="32" spans="1:2" ht="15">
      <c r="A32" s="21"/>
      <c r="B32" s="19" t="s">
        <v>97</v>
      </c>
    </row>
    <row r="33" spans="1:2" ht="15">
      <c r="A33" s="22" t="s">
        <v>111</v>
      </c>
      <c r="B33" s="19" t="s">
        <v>112</v>
      </c>
    </row>
    <row r="34" spans="1:2" ht="15">
      <c r="A34" s="21"/>
      <c r="B34" s="19" t="s">
        <v>113</v>
      </c>
    </row>
    <row r="35" spans="1:2" ht="15">
      <c r="A35" s="28" t="s">
        <v>8</v>
      </c>
      <c r="B35" s="27">
        <v>12</v>
      </c>
    </row>
    <row r="36" spans="1:2" ht="15">
      <c r="A36" s="28" t="s">
        <v>10</v>
      </c>
      <c r="B36" s="52">
        <v>3</v>
      </c>
    </row>
    <row r="37" spans="1:5" ht="15">
      <c r="A37" s="28" t="s">
        <v>11</v>
      </c>
      <c r="B37" s="52">
        <v>5</v>
      </c>
      <c r="E37" s="125"/>
    </row>
    <row r="38" spans="1:2" ht="15">
      <c r="A38" s="42" t="s">
        <v>114</v>
      </c>
      <c r="B38" s="43" t="s">
        <v>71</v>
      </c>
    </row>
    <row r="39" spans="1:2" ht="15">
      <c r="A39" s="41"/>
      <c r="B39" s="43" t="s">
        <v>108</v>
      </c>
    </row>
    <row r="40" spans="1:2" ht="15">
      <c r="A40" s="42" t="s">
        <v>87</v>
      </c>
      <c r="B40" s="43" t="s">
        <v>88</v>
      </c>
    </row>
    <row r="41" spans="1:2" ht="15">
      <c r="A41" s="41"/>
      <c r="B41" s="43" t="s">
        <v>131</v>
      </c>
    </row>
    <row r="42" spans="1:2" ht="15">
      <c r="A42" s="42" t="s">
        <v>18</v>
      </c>
      <c r="B42" s="72" t="s">
        <v>19</v>
      </c>
    </row>
    <row r="43" spans="1:2" ht="15">
      <c r="A43" s="41"/>
      <c r="B43" s="73" t="s">
        <v>20</v>
      </c>
    </row>
    <row r="44" spans="1:2" ht="15">
      <c r="A44" s="119" t="s">
        <v>130</v>
      </c>
      <c r="B44" s="118" t="s">
        <v>150</v>
      </c>
    </row>
    <row r="45" spans="1:2" ht="15">
      <c r="A45" s="120"/>
      <c r="B45" s="118" t="s">
        <v>151</v>
      </c>
    </row>
    <row r="46" spans="1:2" ht="15">
      <c r="A46" s="120"/>
      <c r="B46" s="118" t="s">
        <v>152</v>
      </c>
    </row>
  </sheetData>
  <sheetProtection/>
  <mergeCells count="29">
    <mergeCell ref="H8:I9"/>
    <mergeCell ref="J8:K9"/>
    <mergeCell ref="H11:H12"/>
    <mergeCell ref="J1:K1"/>
    <mergeCell ref="J10:K10"/>
    <mergeCell ref="J11:J12"/>
    <mergeCell ref="K11:K12"/>
    <mergeCell ref="H1:I1"/>
    <mergeCell ref="I11:I12"/>
    <mergeCell ref="A1:A2"/>
    <mergeCell ref="B1:B2"/>
    <mergeCell ref="C1:C2"/>
    <mergeCell ref="D1:D2"/>
    <mergeCell ref="F1:F20"/>
    <mergeCell ref="H10:I10"/>
    <mergeCell ref="G1:G2"/>
    <mergeCell ref="I13:I14"/>
    <mergeCell ref="G11:G12"/>
    <mergeCell ref="G8:G9"/>
    <mergeCell ref="G13:G14"/>
    <mergeCell ref="J15:J16"/>
    <mergeCell ref="K15:K16"/>
    <mergeCell ref="C24:C25"/>
    <mergeCell ref="H13:H14"/>
    <mergeCell ref="G15:G16"/>
    <mergeCell ref="H15:H16"/>
    <mergeCell ref="I15:I16"/>
    <mergeCell ref="J13:J14"/>
    <mergeCell ref="K13:K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>
    <tabColor rgb="FFCC99FF"/>
  </sheetPr>
  <dimension ref="A1:G22"/>
  <sheetViews>
    <sheetView zoomScalePageLayoutView="0" workbookViewId="0" topLeftCell="A1">
      <selection activeCell="C13" sqref="C13:G13"/>
    </sheetView>
  </sheetViews>
  <sheetFormatPr defaultColWidth="9.125" defaultRowHeight="12.75"/>
  <cols>
    <col min="1" max="1" width="4.125" style="170" customWidth="1"/>
    <col min="2" max="2" width="28.375" style="170" customWidth="1"/>
    <col min="3" max="3" width="9.125" style="170" customWidth="1"/>
    <col min="4" max="4" width="14.50390625" style="170" customWidth="1"/>
    <col min="5" max="5" width="16.625" style="170" customWidth="1"/>
    <col min="6" max="6" width="20.625" style="170" customWidth="1"/>
    <col min="7" max="7" width="15.50390625" style="170" customWidth="1"/>
    <col min="8" max="8" width="14.50390625" style="170" customWidth="1"/>
    <col min="9" max="9" width="23.50390625" style="170" customWidth="1"/>
    <col min="10" max="16384" width="9.125" style="170" customWidth="1"/>
  </cols>
  <sheetData>
    <row r="1" spans="2:7" ht="13.5" customHeight="1">
      <c r="B1" s="305" t="s">
        <v>153</v>
      </c>
      <c r="C1" s="305"/>
      <c r="D1" s="305"/>
      <c r="E1" s="305"/>
      <c r="F1" s="305"/>
      <c r="G1" s="305"/>
    </row>
    <row r="2" spans="2:7" ht="12.75" customHeight="1">
      <c r="B2" s="303" t="s">
        <v>154</v>
      </c>
      <c r="C2" s="303"/>
      <c r="D2" s="303"/>
      <c r="E2" s="303"/>
      <c r="F2" s="303"/>
      <c r="G2" s="303"/>
    </row>
    <row r="3" spans="1:7" ht="30" customHeight="1">
      <c r="A3" s="171" t="s">
        <v>155</v>
      </c>
      <c r="B3" s="172" t="s">
        <v>156</v>
      </c>
      <c r="C3" s="294" t="s">
        <v>157</v>
      </c>
      <c r="D3" s="294"/>
      <c r="E3" s="294"/>
      <c r="F3" s="294"/>
      <c r="G3" s="294"/>
    </row>
    <row r="4" spans="1:7" ht="110.25" customHeight="1">
      <c r="A4" s="171">
        <v>1</v>
      </c>
      <c r="B4" s="173" t="s">
        <v>158</v>
      </c>
      <c r="C4" s="174">
        <f>'[2]Расчет'!R16</f>
        <v>1000</v>
      </c>
      <c r="D4" s="306" t="str">
        <f>CurText(C4)</f>
        <v>(одна тысяча) белорусских рублей 00 копеек</v>
      </c>
      <c r="E4" s="306"/>
      <c r="F4" s="306"/>
      <c r="G4" s="307"/>
    </row>
    <row r="5" spans="1:7" ht="84.75" customHeight="1">
      <c r="A5" s="171">
        <v>2</v>
      </c>
      <c r="B5" s="171" t="s">
        <v>159</v>
      </c>
      <c r="C5" s="308" t="s">
        <v>160</v>
      </c>
      <c r="D5" s="308"/>
      <c r="E5" s="308"/>
      <c r="F5" s="308"/>
      <c r="G5" s="308"/>
    </row>
    <row r="6" spans="1:7" ht="25.5" customHeight="1">
      <c r="A6" s="294">
        <v>3</v>
      </c>
      <c r="B6" s="309" t="s">
        <v>161</v>
      </c>
      <c r="C6" s="297" t="s">
        <v>162</v>
      </c>
      <c r="D6" s="292"/>
      <c r="E6" s="292"/>
      <c r="F6" s="175" t="str">
        <f>Переменные!B46</f>
        <v>9 месяцев</v>
      </c>
      <c r="G6" s="176"/>
    </row>
    <row r="7" spans="1:7" ht="87.75" customHeight="1">
      <c r="A7" s="296"/>
      <c r="B7" s="293"/>
      <c r="C7" s="298" t="s">
        <v>163</v>
      </c>
      <c r="D7" s="301"/>
      <c r="E7" s="301"/>
      <c r="F7" s="301"/>
      <c r="G7" s="302"/>
    </row>
    <row r="8" spans="1:7" ht="15.75" customHeight="1">
      <c r="A8" s="294">
        <v>4</v>
      </c>
      <c r="B8" s="297" t="s">
        <v>164</v>
      </c>
      <c r="C8" s="179">
        <f>Переменные!B21</f>
        <v>9.99</v>
      </c>
      <c r="D8" s="292" t="str">
        <f>CurText_Procenty_PPS(C8)</f>
        <v>(девять целых девяносто девять сотых ) процентов годовых.</v>
      </c>
      <c r="E8" s="292"/>
      <c r="F8" s="292"/>
      <c r="G8" s="300"/>
    </row>
    <row r="9" spans="1:7" ht="118.5" customHeight="1">
      <c r="A9" s="295"/>
      <c r="B9" s="298"/>
      <c r="C9" s="298" t="s">
        <v>165</v>
      </c>
      <c r="D9" s="301"/>
      <c r="E9" s="301"/>
      <c r="F9" s="301"/>
      <c r="G9" s="302"/>
    </row>
    <row r="10" spans="1:7" ht="18" customHeight="1">
      <c r="A10" s="295"/>
      <c r="B10" s="298"/>
      <c r="C10" s="298" t="s">
        <v>166</v>
      </c>
      <c r="D10" s="301"/>
      <c r="E10" s="301"/>
      <c r="F10" s="301"/>
      <c r="G10" s="302"/>
    </row>
    <row r="11" spans="1:7" ht="34.5" customHeight="1">
      <c r="A11" s="296"/>
      <c r="B11" s="299"/>
      <c r="C11" s="180" t="e">
        <f>#REF!</f>
        <v>#REF!</v>
      </c>
      <c r="D11" s="303" t="e">
        <f>CurText(C11)</f>
        <v>#VALUE!</v>
      </c>
      <c r="E11" s="303"/>
      <c r="F11" s="303"/>
      <c r="G11" s="304"/>
    </row>
    <row r="12" spans="1:7" ht="46.5" customHeight="1">
      <c r="A12" s="171">
        <v>5</v>
      </c>
      <c r="B12" s="171" t="s">
        <v>167</v>
      </c>
      <c r="C12" s="293" t="s">
        <v>168</v>
      </c>
      <c r="D12" s="293"/>
      <c r="E12" s="293"/>
      <c r="F12" s="293"/>
      <c r="G12" s="293"/>
    </row>
    <row r="13" spans="1:7" ht="100.5" customHeight="1">
      <c r="A13" s="171">
        <v>6</v>
      </c>
      <c r="B13" s="171" t="s">
        <v>169</v>
      </c>
      <c r="C13" s="291" t="s">
        <v>170</v>
      </c>
      <c r="D13" s="291"/>
      <c r="E13" s="291"/>
      <c r="F13" s="291"/>
      <c r="G13" s="291"/>
    </row>
    <row r="14" spans="1:7" ht="46.5">
      <c r="A14" s="171">
        <v>7</v>
      </c>
      <c r="B14" s="171" t="s">
        <v>171</v>
      </c>
      <c r="C14" s="291" t="s">
        <v>172</v>
      </c>
      <c r="D14" s="291"/>
      <c r="E14" s="291"/>
      <c r="F14" s="291"/>
      <c r="G14" s="291"/>
    </row>
    <row r="15" spans="1:7" ht="84" customHeight="1">
      <c r="A15" s="171">
        <v>8</v>
      </c>
      <c r="B15" s="171" t="s">
        <v>173</v>
      </c>
      <c r="C15" s="291" t="s">
        <v>174</v>
      </c>
      <c r="D15" s="291"/>
      <c r="E15" s="291"/>
      <c r="F15" s="291"/>
      <c r="G15" s="291"/>
    </row>
    <row r="16" spans="1:7" ht="30.75">
      <c r="A16" s="171">
        <v>9</v>
      </c>
      <c r="B16" s="171" t="s">
        <v>175</v>
      </c>
      <c r="C16" s="291" t="s">
        <v>176</v>
      </c>
      <c r="D16" s="291"/>
      <c r="E16" s="291"/>
      <c r="F16" s="291"/>
      <c r="G16" s="291"/>
    </row>
    <row r="17" spans="1:7" ht="297.75" customHeight="1">
      <c r="A17" s="171">
        <v>10</v>
      </c>
      <c r="B17" s="171" t="s">
        <v>177</v>
      </c>
      <c r="C17" s="291" t="s">
        <v>178</v>
      </c>
      <c r="D17" s="291"/>
      <c r="E17" s="291"/>
      <c r="F17" s="291"/>
      <c r="G17" s="291"/>
    </row>
    <row r="18" spans="1:7" ht="140.25">
      <c r="A18" s="171">
        <v>11</v>
      </c>
      <c r="B18" s="171" t="s">
        <v>179</v>
      </c>
      <c r="C18" s="291" t="s">
        <v>180</v>
      </c>
      <c r="D18" s="291"/>
      <c r="E18" s="291"/>
      <c r="F18" s="291"/>
      <c r="G18" s="291"/>
    </row>
    <row r="19" spans="1:7" ht="78">
      <c r="A19" s="171">
        <v>12</v>
      </c>
      <c r="B19" s="171" t="s">
        <v>181</v>
      </c>
      <c r="C19" s="291" t="s">
        <v>180</v>
      </c>
      <c r="D19" s="291"/>
      <c r="E19" s="291"/>
      <c r="F19" s="291"/>
      <c r="G19" s="291"/>
    </row>
    <row r="20" spans="2:7" ht="18.75" customHeight="1">
      <c r="B20" s="292" t="s">
        <v>182</v>
      </c>
      <c r="C20" s="292"/>
      <c r="D20" s="292"/>
      <c r="E20" s="292"/>
      <c r="F20" s="292"/>
      <c r="G20" s="292"/>
    </row>
    <row r="21" ht="30.75">
      <c r="B21" s="170" t="s">
        <v>183</v>
      </c>
    </row>
    <row r="22" spans="2:3" ht="15">
      <c r="B22" s="177">
        <f ca="1">TODAY()</f>
        <v>44113</v>
      </c>
      <c r="C22" s="178" t="s">
        <v>184</v>
      </c>
    </row>
  </sheetData>
  <sheetProtection password="C64F" sheet="1" objects="1" scenarios="1"/>
  <protectedRanges>
    <protectedRange sqref="F6" name="Диапазон1"/>
  </protectedRanges>
  <mergeCells count="24">
    <mergeCell ref="B1:G1"/>
    <mergeCell ref="B2:G2"/>
    <mergeCell ref="C3:G3"/>
    <mergeCell ref="D4:G4"/>
    <mergeCell ref="C5:G5"/>
    <mergeCell ref="A6:A7"/>
    <mergeCell ref="B6:B7"/>
    <mergeCell ref="C6:E6"/>
    <mergeCell ref="C7:G7"/>
    <mergeCell ref="A8:A11"/>
    <mergeCell ref="B8:B11"/>
    <mergeCell ref="D8:G8"/>
    <mergeCell ref="C9:G9"/>
    <mergeCell ref="C10:G10"/>
    <mergeCell ref="D11:G11"/>
    <mergeCell ref="C18:G18"/>
    <mergeCell ref="C19:G19"/>
    <mergeCell ref="B20:G20"/>
    <mergeCell ref="C12:G12"/>
    <mergeCell ref="C13:G13"/>
    <mergeCell ref="C14:G14"/>
    <mergeCell ref="C15:G15"/>
    <mergeCell ref="C16:G16"/>
    <mergeCell ref="C17:G1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2">
    <tabColor indexed="36"/>
  </sheetPr>
  <dimension ref="A1:T22"/>
  <sheetViews>
    <sheetView zoomScalePageLayoutView="0" workbookViewId="0" topLeftCell="C5">
      <selection activeCell="K21" sqref="K21"/>
    </sheetView>
  </sheetViews>
  <sheetFormatPr defaultColWidth="9.00390625" defaultRowHeight="12.75"/>
  <cols>
    <col min="1" max="1" width="9.125" style="0" hidden="1" customWidth="1"/>
    <col min="2" max="2" width="10.875" style="0" hidden="1" customWidth="1"/>
    <col min="3" max="3" width="14.375" style="0" bestFit="1" customWidth="1"/>
    <col min="4" max="4" width="15.125" style="0" customWidth="1"/>
    <col min="5" max="5" width="17.50390625" style="0" customWidth="1"/>
    <col min="6" max="6" width="22.625" style="0" customWidth="1"/>
    <col min="7" max="7" width="13.625" style="0" customWidth="1"/>
    <col min="8" max="8" width="9.875" style="0" customWidth="1"/>
    <col min="9" max="9" width="5.50390625" style="0" hidden="1" customWidth="1"/>
    <col min="10" max="10" width="12.50390625" style="0" hidden="1" customWidth="1"/>
    <col min="11" max="11" width="7.375" style="0" customWidth="1"/>
    <col min="12" max="12" width="7.50390625" style="0" hidden="1" customWidth="1"/>
    <col min="13" max="13" width="14.375" style="0" customWidth="1"/>
    <col min="14" max="14" width="14.50390625" style="0" customWidth="1"/>
    <col min="15" max="15" width="19.375" style="0" customWidth="1"/>
    <col min="16" max="16" width="23.375" style="0" customWidth="1"/>
    <col min="17" max="17" width="10.50390625" style="0" customWidth="1"/>
    <col min="19" max="21" width="0" style="0" hidden="1" customWidth="1"/>
  </cols>
  <sheetData>
    <row r="1" spans="2:11" ht="27" hidden="1">
      <c r="B1" s="11" t="s">
        <v>95</v>
      </c>
      <c r="C1" s="48">
        <f>Переменные!B21/100</f>
        <v>0.0999</v>
      </c>
      <c r="D1" s="12"/>
      <c r="E1" s="12"/>
      <c r="G1" s="2"/>
      <c r="H1" s="2"/>
      <c r="I1" s="2"/>
      <c r="J1" s="3"/>
      <c r="K1" s="17">
        <f>C1</f>
        <v>0.0999</v>
      </c>
    </row>
    <row r="2" spans="2:11" ht="25.5" customHeight="1" hidden="1">
      <c r="B2" s="13" t="s">
        <v>109</v>
      </c>
      <c r="C2" s="14">
        <f ca="1">TODAY()</f>
        <v>44113</v>
      </c>
      <c r="E2" s="1"/>
      <c r="F2" s="2"/>
      <c r="G2" s="2"/>
      <c r="H2" s="2"/>
      <c r="I2" s="2"/>
      <c r="J2" s="3"/>
      <c r="K2" s="3"/>
    </row>
    <row r="3" spans="6:11" ht="13.5" customHeight="1" hidden="1">
      <c r="F3" s="2"/>
      <c r="G3" s="2"/>
      <c r="H3" s="2"/>
      <c r="I3" s="2"/>
      <c r="J3" s="3"/>
      <c r="K3" s="3"/>
    </row>
    <row r="4" spans="18:20" ht="12.75" hidden="1">
      <c r="R4" s="3"/>
      <c r="T4" s="6"/>
    </row>
    <row r="5" ht="12.75">
      <c r="J5" s="6" t="e">
        <f>SUM(#REF!)</f>
        <v>#REF!</v>
      </c>
    </row>
    <row r="6" spans="2:20" ht="12.75">
      <c r="B6" s="15"/>
      <c r="C6" s="323" t="s">
        <v>69</v>
      </c>
      <c r="D6" s="323"/>
      <c r="E6" s="323"/>
      <c r="F6" s="323"/>
      <c r="G6" s="323"/>
      <c r="H6" s="323"/>
      <c r="I6" s="2"/>
      <c r="J6" s="3"/>
      <c r="L6" s="15"/>
      <c r="M6" s="322"/>
      <c r="N6" s="322"/>
      <c r="O6" s="322"/>
      <c r="P6" s="322"/>
      <c r="Q6" s="322"/>
      <c r="R6" s="322"/>
      <c r="S6" s="2"/>
      <c r="T6" s="3"/>
    </row>
    <row r="7" spans="2:20" ht="12.75">
      <c r="B7" s="15"/>
      <c r="C7" s="323" t="s">
        <v>70</v>
      </c>
      <c r="D7" s="323"/>
      <c r="E7" s="323"/>
      <c r="F7" s="323"/>
      <c r="G7" s="323"/>
      <c r="H7" s="323"/>
      <c r="I7" s="2"/>
      <c r="J7" s="3"/>
      <c r="L7" s="15"/>
      <c r="M7" s="322"/>
      <c r="N7" s="322"/>
      <c r="O7" s="322"/>
      <c r="P7" s="322"/>
      <c r="Q7" s="322"/>
      <c r="R7" s="322"/>
      <c r="S7" s="2"/>
      <c r="T7" s="3"/>
    </row>
    <row r="8" spans="3:20" ht="18" thickBot="1">
      <c r="C8" s="8"/>
      <c r="H8" s="2"/>
      <c r="I8" s="2"/>
      <c r="J8" s="3"/>
      <c r="M8" s="9"/>
      <c r="N8" s="4"/>
      <c r="O8" s="4"/>
      <c r="P8" s="4"/>
      <c r="Q8" s="4"/>
      <c r="R8" s="7"/>
      <c r="S8" s="2"/>
      <c r="T8" s="3"/>
    </row>
    <row r="9" spans="2:20" ht="12.75" customHeight="1">
      <c r="B9" s="16"/>
      <c r="C9" s="326" t="s">
        <v>110</v>
      </c>
      <c r="D9" s="328" t="s">
        <v>104</v>
      </c>
      <c r="E9" s="328" t="s">
        <v>105</v>
      </c>
      <c r="F9" s="328" t="s">
        <v>106</v>
      </c>
      <c r="G9" s="324" t="s">
        <v>107</v>
      </c>
      <c r="H9" s="2"/>
      <c r="I9" s="2"/>
      <c r="J9" s="3"/>
      <c r="L9" s="16"/>
      <c r="M9" s="122"/>
      <c r="N9" s="122"/>
      <c r="O9" s="122"/>
      <c r="P9" s="122"/>
      <c r="Q9" s="122"/>
      <c r="R9" s="7"/>
      <c r="S9" s="2"/>
      <c r="T9" s="3"/>
    </row>
    <row r="10" spans="3:20" ht="20.25" customHeight="1" thickBot="1">
      <c r="C10" s="327"/>
      <c r="D10" s="329"/>
      <c r="E10" s="329"/>
      <c r="F10" s="329"/>
      <c r="G10" s="325"/>
      <c r="H10" s="2"/>
      <c r="I10" s="2"/>
      <c r="J10" s="3"/>
      <c r="M10" s="122"/>
      <c r="N10" s="122"/>
      <c r="O10" s="122"/>
      <c r="P10" s="122"/>
      <c r="Q10" s="122"/>
      <c r="R10" s="7"/>
      <c r="S10" s="2"/>
      <c r="T10" s="3"/>
    </row>
    <row r="11" spans="1:20" ht="14.25" thickBot="1">
      <c r="A11">
        <v>1</v>
      </c>
      <c r="B11" s="16">
        <v>1</v>
      </c>
      <c r="C11" s="18">
        <f>IF(MONTH(C4)=12,DATE(YEAR($C$2+365),MONTH($C$2+31*I11),1),DATE(YEAR($C$2),MONTH($C$2+31*I11),1))</f>
        <v>44136</v>
      </c>
      <c r="D11" s="110">
        <f>Расчет!B16</f>
        <v>1000</v>
      </c>
      <c r="E11" s="108">
        <f>D11/10</f>
        <v>100</v>
      </c>
      <c r="F11" s="108">
        <f>D11*Переменные!B21/365</f>
        <v>27.36986301369863</v>
      </c>
      <c r="G11" s="112">
        <f>E11+F11</f>
        <v>127.36986301369863</v>
      </c>
      <c r="I11">
        <v>1</v>
      </c>
      <c r="J11" s="6">
        <f>D11*(C11-C4)</f>
        <v>44136000</v>
      </c>
      <c r="L11" s="16">
        <v>1</v>
      </c>
      <c r="M11" s="10"/>
      <c r="N11" s="121"/>
      <c r="O11" s="121"/>
      <c r="P11" s="121"/>
      <c r="Q11" s="121"/>
      <c r="R11" s="4"/>
      <c r="S11">
        <v>1</v>
      </c>
      <c r="T11" s="6">
        <f>N11*(M11-M4)</f>
        <v>0</v>
      </c>
    </row>
    <row r="12" spans="1:20" ht="14.25" thickBot="1">
      <c r="A12">
        <v>1</v>
      </c>
      <c r="B12" s="16">
        <f>B11+1</f>
        <v>2</v>
      </c>
      <c r="C12" s="18">
        <f>IF(MONTH(C5)=12,DATE(YEAR($C$2+365),MONTH($C$2+31*I12),1),DATE(YEAR($C$2),MONTH($C$2+31*I12),1))</f>
        <v>44166</v>
      </c>
      <c r="D12" s="111">
        <f>D11-E11</f>
        <v>900</v>
      </c>
      <c r="E12" s="108">
        <f>E11</f>
        <v>100</v>
      </c>
      <c r="F12" s="108">
        <f>D12*Переменные!B22/365</f>
        <v>0</v>
      </c>
      <c r="G12" s="112">
        <f aca="true" t="shared" si="0" ref="G12:G20">E12+F12</f>
        <v>100</v>
      </c>
      <c r="I12">
        <f>I11+1</f>
        <v>2</v>
      </c>
      <c r="J12" s="6">
        <f>D11*(C12-C11)</f>
        <v>30000</v>
      </c>
      <c r="L12" s="16">
        <f>L11+1</f>
        <v>2</v>
      </c>
      <c r="M12" s="10"/>
      <c r="N12" s="121"/>
      <c r="O12" s="121"/>
      <c r="P12" s="121"/>
      <c r="Q12" s="121"/>
      <c r="R12" s="4"/>
      <c r="S12">
        <f>S11+1</f>
        <v>2</v>
      </c>
      <c r="T12" s="6">
        <f>N11*(M12-M11)</f>
        <v>0</v>
      </c>
    </row>
    <row r="13" spans="1:20" ht="14.25" thickBot="1">
      <c r="A13">
        <v>1</v>
      </c>
      <c r="B13" s="16">
        <f>B12+1</f>
        <v>3</v>
      </c>
      <c r="C13" s="18">
        <f>IF(MONTH(C12)=12,DATE(YEAR($C$2+365),MONTH($C$2+31*I13),1),DATE(YEAR($C$2),MONTH($C$2+31*I13),1))</f>
        <v>44197</v>
      </c>
      <c r="D13" s="111">
        <f aca="true" t="shared" si="1" ref="D13:D20">D12-E12</f>
        <v>800</v>
      </c>
      <c r="E13" s="108">
        <f aca="true" t="shared" si="2" ref="E13:E20">E12</f>
        <v>100</v>
      </c>
      <c r="F13" s="108">
        <f>D13*0.0001%/365</f>
        <v>2.191780821917808E-06</v>
      </c>
      <c r="G13" s="112">
        <f t="shared" si="0"/>
        <v>100.00000219178082</v>
      </c>
      <c r="I13">
        <f>I12+1</f>
        <v>3</v>
      </c>
      <c r="J13" s="6">
        <f>D12*(C13-C12)</f>
        <v>27900</v>
      </c>
      <c r="L13" s="16">
        <f>L12+1</f>
        <v>3</v>
      </c>
      <c r="M13" s="10"/>
      <c r="N13" s="121"/>
      <c r="O13" s="121"/>
      <c r="P13" s="121"/>
      <c r="Q13" s="121"/>
      <c r="R13" s="4"/>
      <c r="S13">
        <f>S12+1</f>
        <v>3</v>
      </c>
      <c r="T13" s="6">
        <f>N12*(M13-M12)</f>
        <v>0</v>
      </c>
    </row>
    <row r="14" spans="1:20" ht="14.25" thickBot="1">
      <c r="A14">
        <v>1</v>
      </c>
      <c r="B14" s="16">
        <f>B13+1</f>
        <v>4</v>
      </c>
      <c r="C14" s="18">
        <f>IF(MONTH(C13)=12,DATE(YEAR($C$2+365),MONTH($C$2+31*I14),1),DATE(YEAR($C$2),MONTH($C$2+31*I14),1))</f>
        <v>43862</v>
      </c>
      <c r="D14" s="111">
        <f t="shared" si="1"/>
        <v>700</v>
      </c>
      <c r="E14" s="108">
        <f t="shared" si="2"/>
        <v>100</v>
      </c>
      <c r="F14" s="108">
        <f>D14*0.0001%/365</f>
        <v>1.9178082191780823E-06</v>
      </c>
      <c r="G14" s="112">
        <f t="shared" si="0"/>
        <v>100.00000191780822</v>
      </c>
      <c r="I14">
        <f>I13+1</f>
        <v>4</v>
      </c>
      <c r="J14" s="6">
        <f>D13*(C14-C13)</f>
        <v>-268000</v>
      </c>
      <c r="L14" s="16">
        <f>L13+1</f>
        <v>4</v>
      </c>
      <c r="M14" s="95"/>
      <c r="N14" s="96"/>
      <c r="O14" s="96"/>
      <c r="P14" s="96"/>
      <c r="Q14" s="96"/>
      <c r="R14" s="4"/>
      <c r="S14">
        <f>S13+1</f>
        <v>4</v>
      </c>
      <c r="T14" s="6" t="e">
        <f>N13*(#REF!-M13)</f>
        <v>#REF!</v>
      </c>
    </row>
    <row r="15" spans="1:20" ht="14.25" thickBot="1">
      <c r="A15">
        <v>1</v>
      </c>
      <c r="B15" s="16">
        <f aca="true" t="shared" si="3" ref="B15:B20">B14+1</f>
        <v>5</v>
      </c>
      <c r="C15" s="18">
        <f>IF(MONTH(C14)=12,DATE(YEAR(C14+365),MONTH(C14+31*I15),1),DATE(YEAR($C$2),MONTH($C$2+31*I15),1))</f>
        <v>43891</v>
      </c>
      <c r="D15" s="111">
        <f t="shared" si="1"/>
        <v>600</v>
      </c>
      <c r="E15" s="108">
        <f t="shared" si="2"/>
        <v>100</v>
      </c>
      <c r="F15" s="108">
        <f aca="true" t="shared" si="4" ref="F15:F20">D14*0.0001%/365</f>
        <v>1.9178082191780823E-06</v>
      </c>
      <c r="G15" s="112">
        <f t="shared" si="0"/>
        <v>100.00000191780822</v>
      </c>
      <c r="I15">
        <v>5</v>
      </c>
      <c r="J15" s="6"/>
      <c r="L15" s="16"/>
      <c r="M15" s="95"/>
      <c r="N15" s="96"/>
      <c r="O15" s="96"/>
      <c r="P15" s="96"/>
      <c r="Q15" s="96"/>
      <c r="R15" s="4"/>
      <c r="T15" s="6"/>
    </row>
    <row r="16" spans="1:20" ht="14.25" thickBot="1">
      <c r="A16">
        <v>1</v>
      </c>
      <c r="B16" s="16">
        <f t="shared" si="3"/>
        <v>6</v>
      </c>
      <c r="C16" s="18">
        <f>IF(MONTH(C15)=12,DATE(YEAR($C$2+365),MONTH($C$2+31*I16),1),DATE(YEAR($C$2),MONTH($C$2+31*I16),1))</f>
        <v>43922</v>
      </c>
      <c r="D16" s="111">
        <f t="shared" si="1"/>
        <v>500</v>
      </c>
      <c r="E16" s="108">
        <f t="shared" si="2"/>
        <v>100</v>
      </c>
      <c r="F16" s="108">
        <f t="shared" si="4"/>
        <v>1.643835616438356E-06</v>
      </c>
      <c r="G16" s="112">
        <f t="shared" si="0"/>
        <v>100.00000164383562</v>
      </c>
      <c r="I16">
        <v>6</v>
      </c>
      <c r="J16" s="6"/>
      <c r="L16" s="16"/>
      <c r="M16" s="95"/>
      <c r="N16" s="96"/>
      <c r="O16" s="96"/>
      <c r="P16" s="96"/>
      <c r="Q16" s="96"/>
      <c r="R16" s="4"/>
      <c r="T16" s="6"/>
    </row>
    <row r="17" spans="1:20" ht="14.25" thickBot="1">
      <c r="A17">
        <v>1</v>
      </c>
      <c r="B17" s="16">
        <f t="shared" si="3"/>
        <v>7</v>
      </c>
      <c r="C17" s="18">
        <f>IF(MONTH(C10)=12,DATE(YEAR($C$2+365),MONTH($C$2+31*I17),1),DATE(YEAR($C$2),MONTH($C$2+31*I17),1))</f>
        <v>43952</v>
      </c>
      <c r="D17" s="111">
        <f t="shared" si="1"/>
        <v>400</v>
      </c>
      <c r="E17" s="108">
        <f t="shared" si="2"/>
        <v>100</v>
      </c>
      <c r="F17" s="108">
        <f t="shared" si="4"/>
        <v>1.3698630136986302E-06</v>
      </c>
      <c r="G17" s="112">
        <f t="shared" si="0"/>
        <v>100.00000136986301</v>
      </c>
      <c r="I17">
        <v>7</v>
      </c>
      <c r="J17" s="6"/>
      <c r="L17" s="16"/>
      <c r="M17" s="95"/>
      <c r="N17" s="96"/>
      <c r="O17" s="96"/>
      <c r="P17" s="96"/>
      <c r="Q17" s="96"/>
      <c r="R17" s="4"/>
      <c r="T17" s="6"/>
    </row>
    <row r="18" spans="1:20" ht="14.25" thickBot="1">
      <c r="A18">
        <v>1</v>
      </c>
      <c r="B18" s="16">
        <f t="shared" si="3"/>
        <v>8</v>
      </c>
      <c r="C18" s="18">
        <f>IF(MONTH(C11)=12,DATE(YEAR($C$2+365),MONTH($C$2+31*I18),1),DATE(YEAR($C$2),MONTH($C$2+31*I18),1))</f>
        <v>43983</v>
      </c>
      <c r="D18" s="111">
        <f t="shared" si="1"/>
        <v>300</v>
      </c>
      <c r="E18" s="108">
        <f t="shared" si="2"/>
        <v>100</v>
      </c>
      <c r="F18" s="108">
        <f t="shared" si="4"/>
        <v>1.095890410958904E-06</v>
      </c>
      <c r="G18" s="112">
        <f t="shared" si="0"/>
        <v>100.00000109589041</v>
      </c>
      <c r="I18">
        <v>8</v>
      </c>
      <c r="J18" s="6"/>
      <c r="L18" s="16"/>
      <c r="M18" s="95"/>
      <c r="N18" s="96"/>
      <c r="O18" s="96"/>
      <c r="P18" s="96"/>
      <c r="Q18" s="96"/>
      <c r="R18" s="4"/>
      <c r="T18" s="6"/>
    </row>
    <row r="19" spans="1:20" ht="14.25" thickBot="1">
      <c r="A19">
        <v>1</v>
      </c>
      <c r="B19" s="16">
        <f t="shared" si="3"/>
        <v>9</v>
      </c>
      <c r="C19" s="18">
        <f>IF(MONTH(C12)=12,DATE(YEAR($C$2+365),MONTH($C$2+31*I19),1),DATE(YEAR($C$2),MONTH($C$2+31*I19),1))</f>
        <v>44378</v>
      </c>
      <c r="D19" s="111">
        <f t="shared" si="1"/>
        <v>200</v>
      </c>
      <c r="E19" s="108">
        <f t="shared" si="2"/>
        <v>100</v>
      </c>
      <c r="F19" s="108">
        <f t="shared" si="4"/>
        <v>8.21917808219178E-07</v>
      </c>
      <c r="G19" s="112">
        <f t="shared" si="0"/>
        <v>100.00000082191781</v>
      </c>
      <c r="I19">
        <v>9</v>
      </c>
      <c r="J19" s="6"/>
      <c r="L19" s="16"/>
      <c r="M19" s="95"/>
      <c r="N19" s="96"/>
      <c r="O19" s="96"/>
      <c r="P19" s="96"/>
      <c r="Q19" s="96"/>
      <c r="R19" s="4"/>
      <c r="T19" s="6"/>
    </row>
    <row r="20" spans="1:20" ht="13.5">
      <c r="A20">
        <v>1</v>
      </c>
      <c r="B20" s="16">
        <f t="shared" si="3"/>
        <v>10</v>
      </c>
      <c r="C20" s="18">
        <f>IF(MONTH(C13)=12,DATE(YEAR($C$2+365),MONTH($C$2+31*I20),1),DATE(YEAR($C$2),MONTH($C$2+31*I20),1))</f>
        <v>44044</v>
      </c>
      <c r="D20" s="111">
        <f t="shared" si="1"/>
        <v>100</v>
      </c>
      <c r="E20" s="108">
        <f t="shared" si="2"/>
        <v>100</v>
      </c>
      <c r="F20" s="108">
        <f t="shared" si="4"/>
        <v>5.47945205479452E-07</v>
      </c>
      <c r="G20" s="112">
        <f t="shared" si="0"/>
        <v>100.0000005479452</v>
      </c>
      <c r="I20">
        <v>10</v>
      </c>
      <c r="J20" s="6"/>
      <c r="L20" s="16"/>
      <c r="M20" s="95"/>
      <c r="N20" s="96"/>
      <c r="O20" s="96"/>
      <c r="P20" s="96"/>
      <c r="Q20" s="96"/>
      <c r="R20" s="4"/>
      <c r="T20" s="6"/>
    </row>
    <row r="21" spans="2:20" ht="13.5">
      <c r="B21" s="16"/>
      <c r="C21" s="95" t="e">
        <f>#REF!+151-1</f>
        <v>#REF!</v>
      </c>
      <c r="D21" s="96"/>
      <c r="E21" s="96"/>
      <c r="F21" s="96" t="e">
        <f>ROUND(#REF!*$C$1*(C21-#REF!)/365,0)</f>
        <v>#REF!</v>
      </c>
      <c r="G21" s="96"/>
      <c r="J21" s="6"/>
      <c r="L21" s="16" t="e">
        <f>#REF!+1</f>
        <v>#REF!</v>
      </c>
      <c r="M21" s="4"/>
      <c r="N21" s="4"/>
      <c r="O21" s="4"/>
      <c r="P21" s="4"/>
      <c r="Q21" s="4"/>
      <c r="S21" t="e">
        <f>#REF!+1</f>
        <v>#REF!</v>
      </c>
      <c r="T21" s="6" t="e">
        <f>#REF!*(#REF!-#REF!)</f>
        <v>#REF!</v>
      </c>
    </row>
    <row r="22" spans="4:20" ht="12.75">
      <c r="D22" s="98" t="s">
        <v>103</v>
      </c>
      <c r="E22" s="114">
        <f>SUM(E11:E20)</f>
        <v>1000</v>
      </c>
      <c r="F22" s="97" t="e">
        <f>SUM(F11:F21)</f>
        <v>#REF!</v>
      </c>
      <c r="G22" s="3"/>
      <c r="H22" s="3"/>
      <c r="J22" s="6"/>
      <c r="L22" s="16"/>
      <c r="T22" s="6"/>
    </row>
  </sheetData>
  <sheetProtection password="C64F" sheet="1" objects="1" scenarios="1"/>
  <mergeCells count="9">
    <mergeCell ref="M6:R6"/>
    <mergeCell ref="C7:H7"/>
    <mergeCell ref="M7:R7"/>
    <mergeCell ref="G9:G10"/>
    <mergeCell ref="C9:C10"/>
    <mergeCell ref="D9:D10"/>
    <mergeCell ref="E9:E10"/>
    <mergeCell ref="F9:F10"/>
    <mergeCell ref="C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3">
    <tabColor indexed="36"/>
  </sheetPr>
  <dimension ref="A1:T20"/>
  <sheetViews>
    <sheetView zoomScalePageLayoutView="0" workbookViewId="0" topLeftCell="C5">
      <selection activeCell="F28" sqref="F28"/>
    </sheetView>
  </sheetViews>
  <sheetFormatPr defaultColWidth="9.00390625" defaultRowHeight="12.75"/>
  <cols>
    <col min="1" max="1" width="9.125" style="0" hidden="1" customWidth="1"/>
    <col min="2" max="2" width="10.875" style="0" hidden="1" customWidth="1"/>
    <col min="3" max="3" width="14.375" style="0" bestFit="1" customWidth="1"/>
    <col min="4" max="4" width="15.125" style="0" customWidth="1"/>
    <col min="5" max="5" width="17.50390625" style="0" customWidth="1"/>
    <col min="6" max="6" width="22.625" style="0" customWidth="1"/>
    <col min="7" max="7" width="13.625" style="0" customWidth="1"/>
    <col min="8" max="8" width="9.875" style="0" customWidth="1"/>
    <col min="9" max="9" width="5.50390625" style="0" hidden="1" customWidth="1"/>
    <col min="10" max="10" width="12.50390625" style="0" hidden="1" customWidth="1"/>
    <col min="11" max="11" width="7.375" style="0" customWidth="1"/>
    <col min="12" max="12" width="7.50390625" style="0" hidden="1" customWidth="1"/>
    <col min="13" max="13" width="14.375" style="0" customWidth="1"/>
    <col min="14" max="14" width="14.50390625" style="0" customWidth="1"/>
    <col min="15" max="15" width="19.375" style="0" customWidth="1"/>
    <col min="16" max="16" width="23.375" style="0" customWidth="1"/>
    <col min="17" max="17" width="10.50390625" style="0" customWidth="1"/>
    <col min="19" max="21" width="0" style="0" hidden="1" customWidth="1"/>
  </cols>
  <sheetData>
    <row r="1" spans="2:11" ht="27" hidden="1">
      <c r="B1" s="11" t="s">
        <v>95</v>
      </c>
      <c r="C1" s="48">
        <f>Переменные!B21/100</f>
        <v>0.0999</v>
      </c>
      <c r="D1" s="12"/>
      <c r="E1" s="12"/>
      <c r="G1" s="2"/>
      <c r="H1" s="2"/>
      <c r="I1" s="2"/>
      <c r="J1" s="3"/>
      <c r="K1" s="17">
        <f>C1</f>
        <v>0.0999</v>
      </c>
    </row>
    <row r="2" spans="2:11" ht="25.5" customHeight="1" hidden="1">
      <c r="B2" s="13" t="s">
        <v>109</v>
      </c>
      <c r="C2" s="14">
        <f ca="1">TODAY()</f>
        <v>44113</v>
      </c>
      <c r="E2" s="1"/>
      <c r="F2" s="2"/>
      <c r="G2" s="2"/>
      <c r="H2" s="2"/>
      <c r="I2" s="2"/>
      <c r="J2" s="3"/>
      <c r="K2" s="3"/>
    </row>
    <row r="3" spans="6:11" ht="13.5" customHeight="1" hidden="1">
      <c r="F3" s="2"/>
      <c r="G3" s="2"/>
      <c r="H3" s="2"/>
      <c r="I3" s="2"/>
      <c r="J3" s="3"/>
      <c r="K3" s="3"/>
    </row>
    <row r="4" spans="18:20" ht="12.75" hidden="1">
      <c r="R4" s="3"/>
      <c r="T4" s="6"/>
    </row>
    <row r="5" ht="12.75">
      <c r="J5" s="6" t="e">
        <f>SUM(#REF!)</f>
        <v>#REF!</v>
      </c>
    </row>
    <row r="6" spans="2:20" ht="12.75">
      <c r="B6" s="15"/>
      <c r="C6" s="323" t="s">
        <v>69</v>
      </c>
      <c r="D6" s="323"/>
      <c r="E6" s="323"/>
      <c r="F6" s="323"/>
      <c r="G6" s="323"/>
      <c r="H6" s="323"/>
      <c r="I6" s="2"/>
      <c r="J6" s="3"/>
      <c r="L6" s="15"/>
      <c r="M6" s="322"/>
      <c r="N6" s="322"/>
      <c r="O6" s="322"/>
      <c r="P6" s="322"/>
      <c r="Q6" s="322"/>
      <c r="R6" s="322"/>
      <c r="S6" s="2"/>
      <c r="T6" s="3"/>
    </row>
    <row r="7" spans="2:20" ht="12.75">
      <c r="B7" s="15"/>
      <c r="C7" s="323" t="s">
        <v>70</v>
      </c>
      <c r="D7" s="323"/>
      <c r="E7" s="323"/>
      <c r="F7" s="323"/>
      <c r="G7" s="323"/>
      <c r="H7" s="323"/>
      <c r="I7" s="2"/>
      <c r="J7" s="3"/>
      <c r="L7" s="15"/>
      <c r="M7" s="322"/>
      <c r="N7" s="322"/>
      <c r="O7" s="322"/>
      <c r="P7" s="322"/>
      <c r="Q7" s="322"/>
      <c r="R7" s="322"/>
      <c r="S7" s="2"/>
      <c r="T7" s="3"/>
    </row>
    <row r="8" spans="3:20" ht="18" thickBot="1">
      <c r="C8" s="8"/>
      <c r="H8" s="2"/>
      <c r="I8" s="2"/>
      <c r="J8" s="3"/>
      <c r="M8" s="9"/>
      <c r="N8" s="4"/>
      <c r="O8" s="4"/>
      <c r="P8" s="4"/>
      <c r="Q8" s="4"/>
      <c r="R8" s="7"/>
      <c r="S8" s="2"/>
      <c r="T8" s="3"/>
    </row>
    <row r="9" spans="2:20" ht="12.75" customHeight="1">
      <c r="B9" s="16"/>
      <c r="C9" s="326" t="s">
        <v>110</v>
      </c>
      <c r="D9" s="328" t="s">
        <v>104</v>
      </c>
      <c r="E9" s="328" t="s">
        <v>105</v>
      </c>
      <c r="F9" s="328" t="s">
        <v>106</v>
      </c>
      <c r="G9" s="324" t="s">
        <v>107</v>
      </c>
      <c r="H9" s="2"/>
      <c r="I9" s="2"/>
      <c r="J9" s="3"/>
      <c r="L9" s="16"/>
      <c r="M9" s="122"/>
      <c r="N9" s="122"/>
      <c r="O9" s="122"/>
      <c r="P9" s="122"/>
      <c r="Q9" s="122"/>
      <c r="R9" s="7"/>
      <c r="S9" s="2"/>
      <c r="T9" s="3"/>
    </row>
    <row r="10" spans="3:20" ht="20.25" customHeight="1" thickBot="1">
      <c r="C10" s="327"/>
      <c r="D10" s="329"/>
      <c r="E10" s="329"/>
      <c r="F10" s="329"/>
      <c r="G10" s="325"/>
      <c r="H10" s="2"/>
      <c r="I10" s="2"/>
      <c r="J10" s="3"/>
      <c r="M10" s="122"/>
      <c r="N10" s="122"/>
      <c r="O10" s="122"/>
      <c r="P10" s="122"/>
      <c r="Q10" s="122"/>
      <c r="R10" s="7"/>
      <c r="S10" s="2"/>
      <c r="T10" s="3"/>
    </row>
    <row r="11" spans="1:20" ht="14.25" thickBot="1">
      <c r="A11">
        <v>1</v>
      </c>
      <c r="B11" s="16">
        <v>1</v>
      </c>
      <c r="C11" s="18">
        <f>IF(MONTH(C4)=12,DATE(YEAR($C$2+365),MONTH($C$2+31*I11),1),DATE(YEAR($C$2),MONTH($C$2+31*I11),1))</f>
        <v>44136</v>
      </c>
      <c r="D11" s="110">
        <f>Расчет!B16</f>
        <v>1000</v>
      </c>
      <c r="E11" s="108">
        <f>D11/8</f>
        <v>125</v>
      </c>
      <c r="F11" s="108">
        <f>D11*Переменные!B21/365</f>
        <v>27.36986301369863</v>
      </c>
      <c r="G11" s="112">
        <f>E11+F11</f>
        <v>152.36986301369862</v>
      </c>
      <c r="I11">
        <v>1</v>
      </c>
      <c r="J11" s="6">
        <f>D11*(C11-C4)</f>
        <v>44136000</v>
      </c>
      <c r="L11" s="16">
        <v>1</v>
      </c>
      <c r="M11" s="10"/>
      <c r="N11" s="121"/>
      <c r="O11" s="121"/>
      <c r="P11" s="121"/>
      <c r="Q11" s="121"/>
      <c r="R11" s="4"/>
      <c r="S11">
        <v>1</v>
      </c>
      <c r="T11" s="6">
        <f>N11*(M11-M4)</f>
        <v>0</v>
      </c>
    </row>
    <row r="12" spans="1:20" ht="14.25" thickBot="1">
      <c r="A12">
        <v>1</v>
      </c>
      <c r="B12" s="16">
        <f aca="true" t="shared" si="0" ref="B12:B18">B11+1</f>
        <v>2</v>
      </c>
      <c r="C12" s="18">
        <f>IF(MONTH(C5)=12,DATE(YEAR($C$2+365),MONTH($C$2+31*I12),1),DATE(YEAR($C$2),MONTH($C$2+31*I12),1))</f>
        <v>44166</v>
      </c>
      <c r="D12" s="111">
        <f>D11-E11</f>
        <v>875</v>
      </c>
      <c r="E12" s="108">
        <f>E11</f>
        <v>125</v>
      </c>
      <c r="F12" s="108">
        <f>D12*Переменные!B22/365</f>
        <v>0</v>
      </c>
      <c r="G12" s="112">
        <f aca="true" t="shared" si="1" ref="G12:G18">E12+F12</f>
        <v>125</v>
      </c>
      <c r="I12">
        <f>I11+1</f>
        <v>2</v>
      </c>
      <c r="J12" s="6">
        <f>D11*(C12-C11)</f>
        <v>30000</v>
      </c>
      <c r="L12" s="16">
        <f>L11+1</f>
        <v>2</v>
      </c>
      <c r="M12" s="10"/>
      <c r="N12" s="121"/>
      <c r="O12" s="121"/>
      <c r="P12" s="121"/>
      <c r="Q12" s="121"/>
      <c r="R12" s="4"/>
      <c r="S12">
        <f>S11+1</f>
        <v>2</v>
      </c>
      <c r="T12" s="6">
        <f>N11*(M12-M11)</f>
        <v>0</v>
      </c>
    </row>
    <row r="13" spans="1:20" ht="14.25" thickBot="1">
      <c r="A13">
        <v>1</v>
      </c>
      <c r="B13" s="16">
        <f t="shared" si="0"/>
        <v>3</v>
      </c>
      <c r="C13" s="18">
        <f>IF(MONTH(C12)=12,DATE(YEAR($C$2+365),MONTH($C$2+31*I13),1),DATE(YEAR($C$2),MONTH($C$2+31*I13),1))</f>
        <v>44197</v>
      </c>
      <c r="D13" s="111">
        <f aca="true" t="shared" si="2" ref="D13:D18">D12-E12</f>
        <v>750</v>
      </c>
      <c r="E13" s="108">
        <f aca="true" t="shared" si="3" ref="E13:E18">E12</f>
        <v>125</v>
      </c>
      <c r="F13" s="108">
        <f>D13*0.0001%/365</f>
        <v>2.0547945205479454E-06</v>
      </c>
      <c r="G13" s="112">
        <f t="shared" si="1"/>
        <v>125.00000205479452</v>
      </c>
      <c r="I13">
        <f>I12+1</f>
        <v>3</v>
      </c>
      <c r="J13" s="6">
        <f>D12*(C13-C12)</f>
        <v>27125</v>
      </c>
      <c r="L13" s="16">
        <f>L12+1</f>
        <v>3</v>
      </c>
      <c r="M13" s="10"/>
      <c r="N13" s="121"/>
      <c r="O13" s="121"/>
      <c r="P13" s="121"/>
      <c r="Q13" s="121"/>
      <c r="R13" s="4"/>
      <c r="S13">
        <f>S12+1</f>
        <v>3</v>
      </c>
      <c r="T13" s="6">
        <f>N12*(M13-M12)</f>
        <v>0</v>
      </c>
    </row>
    <row r="14" spans="1:20" ht="14.25" thickBot="1">
      <c r="A14">
        <v>1</v>
      </c>
      <c r="B14" s="16">
        <f t="shared" si="0"/>
        <v>4</v>
      </c>
      <c r="C14" s="18">
        <f>IF(MONTH(C13)=12,DATE(YEAR($C$2+365),MONTH($C$2+31*I14),1),DATE(YEAR($C$2),MONTH($C$2+31*I14),1))</f>
        <v>43862</v>
      </c>
      <c r="D14" s="111">
        <f t="shared" si="2"/>
        <v>625</v>
      </c>
      <c r="E14" s="108">
        <f t="shared" si="3"/>
        <v>125</v>
      </c>
      <c r="F14" s="108">
        <f>D14*0.0001%/365</f>
        <v>1.7123287671232877E-06</v>
      </c>
      <c r="G14" s="112">
        <f t="shared" si="1"/>
        <v>125.00000171232877</v>
      </c>
      <c r="I14">
        <f>I13+1</f>
        <v>4</v>
      </c>
      <c r="J14" s="6">
        <f>D13*(C14-C13)</f>
        <v>-251250</v>
      </c>
      <c r="L14" s="16">
        <f>L13+1</f>
        <v>4</v>
      </c>
      <c r="M14" s="95"/>
      <c r="N14" s="96"/>
      <c r="O14" s="96"/>
      <c r="P14" s="96"/>
      <c r="Q14" s="96"/>
      <c r="R14" s="4"/>
      <c r="S14">
        <f>S13+1</f>
        <v>4</v>
      </c>
      <c r="T14" s="6" t="e">
        <f>N13*(#REF!-M13)</f>
        <v>#REF!</v>
      </c>
    </row>
    <row r="15" spans="1:20" ht="14.25" thickBot="1">
      <c r="A15">
        <v>1</v>
      </c>
      <c r="B15" s="16">
        <f t="shared" si="0"/>
        <v>5</v>
      </c>
      <c r="C15" s="18">
        <f>IF(MONTH(C14)=12,DATE(YEAR(C14+365),MONTH(C14+31*I15),1),DATE(YEAR($C$2),MONTH($C$2+31*I15),1))</f>
        <v>43891</v>
      </c>
      <c r="D15" s="111">
        <f t="shared" si="2"/>
        <v>500</v>
      </c>
      <c r="E15" s="108">
        <f t="shared" si="3"/>
        <v>125</v>
      </c>
      <c r="F15" s="108">
        <f>D14*0.0001%/365</f>
        <v>1.7123287671232877E-06</v>
      </c>
      <c r="G15" s="112">
        <f t="shared" si="1"/>
        <v>125.00000171232877</v>
      </c>
      <c r="I15">
        <v>5</v>
      </c>
      <c r="J15" s="6"/>
      <c r="L15" s="16"/>
      <c r="M15" s="95"/>
      <c r="N15" s="96"/>
      <c r="O15" s="96"/>
      <c r="P15" s="96"/>
      <c r="Q15" s="96"/>
      <c r="R15" s="4"/>
      <c r="T15" s="6"/>
    </row>
    <row r="16" spans="1:20" ht="14.25" thickBot="1">
      <c r="A16">
        <v>1</v>
      </c>
      <c r="B16" s="16">
        <f t="shared" si="0"/>
        <v>6</v>
      </c>
      <c r="C16" s="18">
        <f>IF(MONTH(C15)=12,DATE(YEAR($C$2+365),MONTH($C$2+31*I16),1),DATE(YEAR($C$2),MONTH($C$2+31*I16),1))</f>
        <v>43922</v>
      </c>
      <c r="D16" s="111">
        <f t="shared" si="2"/>
        <v>375</v>
      </c>
      <c r="E16" s="108">
        <f t="shared" si="3"/>
        <v>125</v>
      </c>
      <c r="F16" s="108">
        <f>D15*0.0001%/365</f>
        <v>1.3698630136986302E-06</v>
      </c>
      <c r="G16" s="112">
        <f t="shared" si="1"/>
        <v>125.00000136986301</v>
      </c>
      <c r="I16">
        <v>6</v>
      </c>
      <c r="J16" s="6"/>
      <c r="L16" s="16"/>
      <c r="M16" s="95"/>
      <c r="N16" s="96"/>
      <c r="O16" s="96"/>
      <c r="P16" s="96"/>
      <c r="Q16" s="96"/>
      <c r="R16" s="4"/>
      <c r="T16" s="6"/>
    </row>
    <row r="17" spans="1:20" ht="14.25" thickBot="1">
      <c r="A17">
        <v>1</v>
      </c>
      <c r="B17" s="16">
        <f t="shared" si="0"/>
        <v>7</v>
      </c>
      <c r="C17" s="18">
        <f>IF(MONTH(C10)=12,DATE(YEAR($C$2+365),MONTH($C$2+31*I17),1),DATE(YEAR($C$2),MONTH($C$2+31*I17),1))</f>
        <v>43952</v>
      </c>
      <c r="D17" s="111">
        <f t="shared" si="2"/>
        <v>250</v>
      </c>
      <c r="E17" s="108">
        <f t="shared" si="3"/>
        <v>125</v>
      </c>
      <c r="F17" s="108">
        <f>D16*0.0001%/365</f>
        <v>1.0273972602739727E-06</v>
      </c>
      <c r="G17" s="112">
        <f t="shared" si="1"/>
        <v>125.00000102739726</v>
      </c>
      <c r="I17">
        <v>7</v>
      </c>
      <c r="J17" s="6"/>
      <c r="L17" s="16"/>
      <c r="M17" s="95"/>
      <c r="N17" s="96"/>
      <c r="O17" s="96"/>
      <c r="P17" s="96"/>
      <c r="Q17" s="96"/>
      <c r="R17" s="4"/>
      <c r="T17" s="6"/>
    </row>
    <row r="18" spans="1:20" ht="13.5">
      <c r="A18">
        <v>1</v>
      </c>
      <c r="B18" s="16">
        <f t="shared" si="0"/>
        <v>8</v>
      </c>
      <c r="C18" s="18">
        <f>IF(MONTH(C11)=12,DATE(YEAR($C$2+365),MONTH($C$2+31*I18),1),DATE(YEAR($C$2),MONTH($C$2+31*I18),1))</f>
        <v>43983</v>
      </c>
      <c r="D18" s="111">
        <f t="shared" si="2"/>
        <v>125</v>
      </c>
      <c r="E18" s="108">
        <f t="shared" si="3"/>
        <v>125</v>
      </c>
      <c r="F18" s="108">
        <f>D17*0.0001%/365</f>
        <v>6.849315068493151E-07</v>
      </c>
      <c r="G18" s="112">
        <f t="shared" si="1"/>
        <v>125.0000006849315</v>
      </c>
      <c r="I18">
        <v>8</v>
      </c>
      <c r="J18" s="6"/>
      <c r="L18" s="16"/>
      <c r="M18" s="95"/>
      <c r="N18" s="96"/>
      <c r="O18" s="96"/>
      <c r="P18" s="96"/>
      <c r="Q18" s="96"/>
      <c r="R18" s="4"/>
      <c r="T18" s="6"/>
    </row>
    <row r="19" spans="2:20" ht="13.5">
      <c r="B19" s="16"/>
      <c r="C19" s="95" t="e">
        <f>#REF!+151-1</f>
        <v>#REF!</v>
      </c>
      <c r="D19" s="96"/>
      <c r="E19" s="96"/>
      <c r="F19" s="96" t="e">
        <f>ROUND(#REF!*$C$1*(C19-#REF!)/365,0)</f>
        <v>#REF!</v>
      </c>
      <c r="G19" s="96"/>
      <c r="J19" s="6"/>
      <c r="L19" s="16" t="e">
        <f>#REF!+1</f>
        <v>#REF!</v>
      </c>
      <c r="M19" s="4"/>
      <c r="N19" s="4"/>
      <c r="O19" s="4"/>
      <c r="P19" s="4"/>
      <c r="Q19" s="4"/>
      <c r="S19" t="e">
        <f>#REF!+1</f>
        <v>#REF!</v>
      </c>
      <c r="T19" s="6" t="e">
        <f>#REF!*(#REF!-#REF!)</f>
        <v>#REF!</v>
      </c>
    </row>
    <row r="20" spans="4:20" ht="12.75">
      <c r="D20" s="98" t="s">
        <v>103</v>
      </c>
      <c r="E20" s="114">
        <f>SUM(E11:E18)</f>
        <v>1000</v>
      </c>
      <c r="F20" s="97" t="e">
        <f>SUM(F11:F19)</f>
        <v>#REF!</v>
      </c>
      <c r="G20" s="3"/>
      <c r="H20" s="3"/>
      <c r="J20" s="6"/>
      <c r="L20" s="16"/>
      <c r="T20" s="6"/>
    </row>
  </sheetData>
  <sheetProtection password="C64F" sheet="1" objects="1" scenarios="1"/>
  <mergeCells count="9">
    <mergeCell ref="M6:R6"/>
    <mergeCell ref="C7:H7"/>
    <mergeCell ref="M7:R7"/>
    <mergeCell ref="G9:G10"/>
    <mergeCell ref="C9:C10"/>
    <mergeCell ref="D9:D10"/>
    <mergeCell ref="E9:E10"/>
    <mergeCell ref="F9:F10"/>
    <mergeCell ref="C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/>
  <dimension ref="A1:F32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16.00390625" style="0" bestFit="1" customWidth="1"/>
    <col min="2" max="2" width="88.875" style="0" customWidth="1"/>
    <col min="6" max="6" width="17.375" style="0" customWidth="1"/>
  </cols>
  <sheetData>
    <row r="1" spans="1:6" ht="12.75">
      <c r="A1" s="44" t="s">
        <v>48</v>
      </c>
      <c r="B1" s="44" t="s">
        <v>49</v>
      </c>
      <c r="C1" s="45" t="s">
        <v>50</v>
      </c>
      <c r="D1" s="45"/>
      <c r="F1" t="e">
        <f>IF(Расчет!#REF!=1,'Счета-ком.за выдачу'!A1,IF(Расчет!#REF!=2,'Счета-ком.за выдачу'!A2,IF(Расчет!#REF!=3,'Счета-ком.за выдачу'!A3,IF(Расчет!#REF!=4,'Счета-ком.за выдачу'!A4,IF(Расчет!#REF!=5,'Счета-ком.за выдачу'!A5,IF(Расчет!#REF!=6,'Счета-ком.за выдачу'!A6,IF(Расчет!#REF!=7,'Счета-ком.за выдачу'!A7,IF(Расчет!#REF!=8,'Счета-ком.за выдачу'!A8))))))))</f>
        <v>#REF!</v>
      </c>
    </row>
    <row r="2" spans="1:6" ht="12.75">
      <c r="A2" s="44" t="s">
        <v>26</v>
      </c>
      <c r="B2" s="44" t="s">
        <v>27</v>
      </c>
      <c r="C2" s="45" t="s">
        <v>28</v>
      </c>
      <c r="D2" s="45"/>
      <c r="F2" s="53" t="e">
        <f>IF(Расчет!#REF!=9,A9,IF(Расчет!#REF!=10,A10,IF(Расчет!#REF!=11,A11,IF(Расчет!#REF!=12,A12,IF(Расчет!#REF!=13,A13,IF(Расчет!#REF!=14,A14,IF(Расчет!#REF!=15,A15)))))))</f>
        <v>#REF!</v>
      </c>
    </row>
    <row r="3" spans="1:6" ht="12.75">
      <c r="A3" s="44" t="s">
        <v>29</v>
      </c>
      <c r="B3" s="44" t="s">
        <v>30</v>
      </c>
      <c r="C3" s="45" t="s">
        <v>31</v>
      </c>
      <c r="D3" s="45"/>
      <c r="E3" s="46" t="s">
        <v>59</v>
      </c>
      <c r="F3" s="54" t="e">
        <f>IF(F1=FALSE,F2,IF(F2=FALSE,F1))</f>
        <v>#REF!</v>
      </c>
    </row>
    <row r="4" spans="1:4" ht="12.75">
      <c r="A4" s="44" t="s">
        <v>32</v>
      </c>
      <c r="B4" s="44" t="s">
        <v>33</v>
      </c>
      <c r="C4" s="45" t="s">
        <v>34</v>
      </c>
      <c r="D4" s="45"/>
    </row>
    <row r="5" spans="1:4" ht="12.75">
      <c r="A5" s="44" t="s">
        <v>51</v>
      </c>
      <c r="B5" s="44" t="s">
        <v>53</v>
      </c>
      <c r="C5" s="45" t="s">
        <v>52</v>
      </c>
      <c r="D5" s="45"/>
    </row>
    <row r="6" spans="1:4" ht="12.75">
      <c r="A6" s="44" t="s">
        <v>54</v>
      </c>
      <c r="B6" s="44" t="s">
        <v>55</v>
      </c>
      <c r="C6" s="45" t="s">
        <v>56</v>
      </c>
      <c r="D6" s="45"/>
    </row>
    <row r="7" spans="1:4" ht="12.75" customHeight="1">
      <c r="A7" s="44" t="s">
        <v>23</v>
      </c>
      <c r="B7" s="44" t="s">
        <v>24</v>
      </c>
      <c r="C7" s="45" t="s">
        <v>25</v>
      </c>
      <c r="D7" s="45"/>
    </row>
    <row r="8" spans="1:4" ht="12.75">
      <c r="A8" s="44" t="s">
        <v>57</v>
      </c>
      <c r="B8" s="44" t="s">
        <v>58</v>
      </c>
      <c r="C8" s="45" t="s">
        <v>35</v>
      </c>
      <c r="D8" s="45"/>
    </row>
    <row r="9" spans="1:4" ht="12.75">
      <c r="A9" s="44" t="s">
        <v>36</v>
      </c>
      <c r="B9" s="44" t="s">
        <v>37</v>
      </c>
      <c r="C9" s="45" t="s">
        <v>38</v>
      </c>
      <c r="D9" s="45"/>
    </row>
    <row r="10" spans="1:4" ht="12.75">
      <c r="A10" s="44" t="s">
        <v>39</v>
      </c>
      <c r="B10" s="44" t="s">
        <v>40</v>
      </c>
      <c r="C10" s="45" t="s">
        <v>41</v>
      </c>
      <c r="D10" s="45"/>
    </row>
    <row r="11" spans="1:4" ht="12.75">
      <c r="A11" s="44" t="s">
        <v>42</v>
      </c>
      <c r="B11" s="44" t="s">
        <v>43</v>
      </c>
      <c r="C11" s="45" t="s">
        <v>44</v>
      </c>
      <c r="D11" s="45"/>
    </row>
    <row r="12" spans="1:4" ht="12.75">
      <c r="A12" s="44" t="s">
        <v>45</v>
      </c>
      <c r="B12" s="44" t="s">
        <v>46</v>
      </c>
      <c r="C12" s="45" t="s">
        <v>47</v>
      </c>
      <c r="D12" s="45"/>
    </row>
    <row r="13" spans="1:3" ht="12.75">
      <c r="A13" s="53">
        <v>8101800008148</v>
      </c>
      <c r="B13" t="s">
        <v>16</v>
      </c>
      <c r="C13" s="3" t="s">
        <v>17</v>
      </c>
    </row>
    <row r="14" spans="1:3" ht="12.75">
      <c r="A14" s="64">
        <v>8101800010338</v>
      </c>
      <c r="B14" t="s">
        <v>60</v>
      </c>
      <c r="C14" s="3" t="s">
        <v>61</v>
      </c>
    </row>
    <row r="15" spans="1:3" ht="12.75">
      <c r="A15" s="53">
        <v>8101800020302</v>
      </c>
      <c r="B15" t="s">
        <v>101</v>
      </c>
      <c r="C15" s="3" t="s">
        <v>102</v>
      </c>
    </row>
    <row r="17" ht="12.75">
      <c r="A17" t="s">
        <v>86</v>
      </c>
    </row>
    <row r="18" spans="1:6" ht="12.75">
      <c r="A18" s="44" t="s">
        <v>48</v>
      </c>
      <c r="B18" s="44" t="s">
        <v>49</v>
      </c>
      <c r="C18" s="45" t="s">
        <v>50</v>
      </c>
      <c r="D18" s="45"/>
      <c r="F18" t="e">
        <f>IF(Расчет!#REF!=1,A18,IF(Расчет!#REF!=2,A19,IF(Расчет!#REF!=3,A20,IF(Расчет!#REF!=4,A21,IF(Расчет!#REF!=5,A22,IF(Расчет!#REF!=6,A23,IF(Расчет!#REF!=7,A24,IF(Расчет!#REF!=8,A25))))))))</f>
        <v>#REF!</v>
      </c>
    </row>
    <row r="19" spans="1:6" ht="12.75">
      <c r="A19" s="44" t="s">
        <v>26</v>
      </c>
      <c r="B19" s="44" t="s">
        <v>27</v>
      </c>
      <c r="C19" s="45" t="s">
        <v>28</v>
      </c>
      <c r="D19" s="45"/>
      <c r="F19" s="53" t="e">
        <f>IF(Расчет!#REF!=9,A26,IF(Расчет!#REF!=10,A27,IF(Расчет!#REF!=11,A28,IF(Расчет!#REF!=12,A29,IF(Расчет!#REF!=13,A30,IF(Расчет!#REF!=14,A31,IF(Расчет!#REF!=15,A32)))))))</f>
        <v>#REF!</v>
      </c>
    </row>
    <row r="20" spans="1:6" ht="12.75">
      <c r="A20" s="44" t="s">
        <v>29</v>
      </c>
      <c r="B20" s="44" t="s">
        <v>30</v>
      </c>
      <c r="C20" s="45" t="s">
        <v>31</v>
      </c>
      <c r="D20" s="45"/>
      <c r="E20" s="46" t="s">
        <v>59</v>
      </c>
      <c r="F20" s="54" t="e">
        <f>IF(F18=FALSE,F19,IF(F19=FALSE,F18))</f>
        <v>#REF!</v>
      </c>
    </row>
    <row r="21" spans="1:4" ht="12.75">
      <c r="A21" s="44" t="s">
        <v>32</v>
      </c>
      <c r="B21" s="44" t="s">
        <v>33</v>
      </c>
      <c r="C21" s="45" t="s">
        <v>34</v>
      </c>
      <c r="D21" s="45"/>
    </row>
    <row r="22" spans="1:4" ht="12.75">
      <c r="A22" s="44" t="s">
        <v>51</v>
      </c>
      <c r="B22" s="44" t="s">
        <v>53</v>
      </c>
      <c r="C22" s="45" t="s">
        <v>52</v>
      </c>
      <c r="D22" s="45"/>
    </row>
    <row r="23" spans="1:4" ht="12.75">
      <c r="A23" s="44" t="s">
        <v>54</v>
      </c>
      <c r="B23" s="44" t="s">
        <v>55</v>
      </c>
      <c r="C23" s="45" t="s">
        <v>56</v>
      </c>
      <c r="D23" s="45"/>
    </row>
    <row r="24" spans="1:4" ht="12.75" customHeight="1">
      <c r="A24" s="44" t="s">
        <v>23</v>
      </c>
      <c r="B24" s="44" t="s">
        <v>24</v>
      </c>
      <c r="C24" s="45" t="s">
        <v>25</v>
      </c>
      <c r="D24" s="45"/>
    </row>
    <row r="25" spans="1:4" ht="12.75">
      <c r="A25" s="49" t="s">
        <v>57</v>
      </c>
      <c r="B25" s="44" t="s">
        <v>58</v>
      </c>
      <c r="C25" s="45" t="s">
        <v>35</v>
      </c>
      <c r="D25" s="45"/>
    </row>
    <row r="26" spans="1:4" ht="12.75">
      <c r="A26" s="44" t="s">
        <v>36</v>
      </c>
      <c r="B26" s="44" t="s">
        <v>37</v>
      </c>
      <c r="C26" s="45" t="s">
        <v>38</v>
      </c>
      <c r="D26" s="45"/>
    </row>
    <row r="27" spans="1:4" ht="12.75">
      <c r="A27" s="44" t="s">
        <v>39</v>
      </c>
      <c r="B27" s="44" t="s">
        <v>40</v>
      </c>
      <c r="C27" s="45" t="s">
        <v>41</v>
      </c>
      <c r="D27" s="45"/>
    </row>
    <row r="28" spans="1:4" ht="12.75">
      <c r="A28" s="44" t="s">
        <v>42</v>
      </c>
      <c r="B28" s="44" t="s">
        <v>43</v>
      </c>
      <c r="C28" s="45" t="s">
        <v>44</v>
      </c>
      <c r="D28" s="45"/>
    </row>
    <row r="29" spans="1:4" ht="12.75">
      <c r="A29" s="44" t="s">
        <v>45</v>
      </c>
      <c r="B29" s="44" t="s">
        <v>46</v>
      </c>
      <c r="C29" s="45" t="s">
        <v>47</v>
      </c>
      <c r="D29" s="45"/>
    </row>
    <row r="30" spans="1:3" ht="12.75">
      <c r="A30" s="53">
        <v>8101800008148</v>
      </c>
      <c r="B30" t="s">
        <v>16</v>
      </c>
      <c r="C30" s="3" t="s">
        <v>17</v>
      </c>
    </row>
    <row r="31" spans="1:3" ht="12.75">
      <c r="A31" s="64">
        <v>8101800010338</v>
      </c>
      <c r="B31" t="s">
        <v>60</v>
      </c>
      <c r="C31" s="3" t="s">
        <v>61</v>
      </c>
    </row>
    <row r="32" spans="1:3" ht="12.75">
      <c r="A32" s="53">
        <v>8101800020302</v>
      </c>
      <c r="B32" t="s">
        <v>101</v>
      </c>
      <c r="C32" s="3" t="s">
        <v>102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0"/>
  </sheetPr>
  <dimension ref="A1:W17"/>
  <sheetViews>
    <sheetView showGridLines="0" tabSelected="1" zoomScale="85" zoomScaleNormal="85" zoomScalePageLayoutView="0" workbookViewId="0" topLeftCell="A1">
      <selection activeCell="K17" sqref="K17"/>
    </sheetView>
  </sheetViews>
  <sheetFormatPr defaultColWidth="9.125" defaultRowHeight="12.75"/>
  <cols>
    <col min="1" max="1" width="3.375" style="55" customWidth="1"/>
    <col min="2" max="2" width="13.625" style="55" customWidth="1"/>
    <col min="3" max="3" width="14.50390625" style="55" customWidth="1"/>
    <col min="4" max="4" width="13.50390625" style="55" customWidth="1"/>
    <col min="5" max="5" width="14.50390625" style="55" customWidth="1"/>
    <col min="6" max="6" width="14.625" style="55" customWidth="1"/>
    <col min="7" max="7" width="11.875" style="55" customWidth="1"/>
    <col min="8" max="8" width="11.625" style="55" customWidth="1"/>
    <col min="9" max="9" width="11.50390625" style="55" customWidth="1"/>
    <col min="10" max="10" width="12.00390625" style="55" customWidth="1"/>
    <col min="11" max="11" width="12.375" style="55" customWidth="1"/>
    <col min="12" max="12" width="12.875" style="55" customWidth="1"/>
    <col min="13" max="13" width="18.375" style="55" customWidth="1"/>
    <col min="14" max="14" width="13.50390625" style="55" customWidth="1"/>
    <col min="15" max="15" width="13.625" style="55" customWidth="1"/>
    <col min="16" max="18" width="11.50390625" style="55" customWidth="1"/>
    <col min="19" max="19" width="11.625" style="55" customWidth="1"/>
    <col min="20" max="22" width="11.375" style="55" customWidth="1"/>
    <col min="23" max="23" width="11.50390625" style="55" customWidth="1"/>
    <col min="24" max="24" width="12.625" style="55" customWidth="1"/>
    <col min="25" max="25" width="12.50390625" style="55" customWidth="1"/>
    <col min="26" max="38" width="9.125" style="55" customWidth="1"/>
    <col min="39" max="39" width="11.375" style="55" customWidth="1"/>
    <col min="40" max="16384" width="9.125" style="55" customWidth="1"/>
  </cols>
  <sheetData>
    <row r="1" spans="2:8" ht="8.25" customHeight="1">
      <c r="B1" s="277" t="s">
        <v>124</v>
      </c>
      <c r="C1" s="279" t="s">
        <v>126</v>
      </c>
      <c r="D1" s="281" t="s">
        <v>122</v>
      </c>
      <c r="E1" s="267" t="s">
        <v>123</v>
      </c>
      <c r="F1" s="267" t="s">
        <v>91</v>
      </c>
      <c r="G1" s="267" t="s">
        <v>63</v>
      </c>
      <c r="H1" s="269"/>
    </row>
    <row r="2" spans="2:19" ht="38.25" customHeight="1">
      <c r="B2" s="278"/>
      <c r="C2" s="280"/>
      <c r="D2" s="282"/>
      <c r="E2" s="268"/>
      <c r="F2" s="268"/>
      <c r="G2" s="268"/>
      <c r="H2" s="270"/>
      <c r="K2" s="58"/>
      <c r="L2" s="58"/>
      <c r="M2" s="58"/>
      <c r="N2" s="58"/>
      <c r="O2" s="58"/>
      <c r="P2" s="58"/>
      <c r="Q2" s="58"/>
      <c r="R2" s="58"/>
      <c r="S2" s="58"/>
    </row>
    <row r="3" spans="2:19" ht="26.25" customHeight="1" thickBot="1">
      <c r="B3" s="104">
        <v>900</v>
      </c>
      <c r="C3" s="105">
        <v>0</v>
      </c>
      <c r="D3" s="105"/>
      <c r="E3" s="105">
        <v>0</v>
      </c>
      <c r="F3" s="70">
        <v>2</v>
      </c>
      <c r="G3" s="283"/>
      <c r="H3" s="284"/>
      <c r="K3" s="58"/>
      <c r="L3" s="58"/>
      <c r="M3" s="58"/>
      <c r="N3" s="58"/>
      <c r="O3" s="58"/>
      <c r="P3" s="58"/>
      <c r="Q3" s="58"/>
      <c r="R3" s="58"/>
      <c r="S3" s="58"/>
    </row>
    <row r="4" spans="2:23" ht="15" customHeight="1" thickBot="1">
      <c r="B4" s="56"/>
      <c r="C4" s="57"/>
      <c r="D4" s="56"/>
      <c r="E4" s="56"/>
      <c r="F4" s="56"/>
      <c r="G4" s="56"/>
      <c r="H4" s="56"/>
      <c r="T4" s="63"/>
      <c r="U4" s="63"/>
      <c r="V4" s="63"/>
      <c r="W4" s="62"/>
    </row>
    <row r="5" spans="1:8" s="58" customFormat="1" ht="45.75" customHeight="1" thickBot="1">
      <c r="A5" s="271" t="s">
        <v>68</v>
      </c>
      <c r="B5" s="272"/>
      <c r="C5" s="285" t="s">
        <v>118</v>
      </c>
      <c r="D5" s="286"/>
      <c r="E5" s="286"/>
      <c r="F5" s="286"/>
      <c r="G5" s="286"/>
      <c r="H5" s="286"/>
    </row>
    <row r="6" spans="1:8" s="58" customFormat="1" ht="15">
      <c r="A6" s="273"/>
      <c r="B6" s="274"/>
      <c r="C6" s="126" t="s">
        <v>119</v>
      </c>
      <c r="D6" s="136" t="s">
        <v>120</v>
      </c>
      <c r="E6" s="136" t="s">
        <v>121</v>
      </c>
      <c r="F6" s="126" t="s">
        <v>93</v>
      </c>
      <c r="G6" s="137" t="s">
        <v>132</v>
      </c>
      <c r="H6" s="127"/>
    </row>
    <row r="7" spans="1:8" s="58" customFormat="1" ht="29.25" customHeight="1">
      <c r="A7" s="275"/>
      <c r="B7" s="276"/>
      <c r="C7" s="260" t="s">
        <v>15</v>
      </c>
      <c r="D7" s="261"/>
      <c r="E7" s="261"/>
      <c r="F7" s="262"/>
      <c r="G7" s="117"/>
      <c r="H7" s="117"/>
    </row>
    <row r="8" spans="1:8" s="58" customFormat="1" ht="31.5" customHeight="1">
      <c r="A8" s="256" t="s">
        <v>116</v>
      </c>
      <c r="B8" s="83" t="s">
        <v>125</v>
      </c>
      <c r="C8" s="101">
        <f>IF(OR(Переменные!C24&gt;B3,ROUND((Переменные!B27*3/(Переменные!B21*0.25/100+1)),)&lt;200),"невозможно",IF(ROUND((Переменные!B27*3/(Переменные!B21*0.25/100+1)),)&gt;=6000,6000,(ROUND((Переменные!B27*3/(Переменные!B21*0.25/100+1)),))))</f>
        <v>922</v>
      </c>
      <c r="D8" s="141">
        <f>IF(OR(Переменные!C24&gt;B3,ROUND((Переменные!B27*4/(Переменные!B21*(3/12)/100+1)),)&lt;200),"невозможно",IF(ROUND((Переменные!B27*4/(Переменные!B21*(3/12)/100+1)),)&gt;=6000,6000,(ROUND((Переменные!B27*4/(Переменные!B21*(3/12)/100+1)),))))</f>
        <v>1229</v>
      </c>
      <c r="E8" s="141">
        <f>IF(OR(Переменные!C24&gt;B3,ROUND((Переменные!B27*5/(Переменные!B21*(5/12)/100+1)),)&lt;200),"невозможно",IF(ROUND((Переменные!B27*5/(Переменные!B21*(5/12)/100+1)),)&gt;=6000,6000,(ROUND((Переменные!B27*5/(Переменные!B21*(5/12)/100+1)),))))</f>
        <v>1512</v>
      </c>
      <c r="F8" s="101">
        <f>IF(OR(Переменные!C24&gt;B3,ROUND((Переменные!B27*6/(Переменные!B21*0.5/100+1)),)&lt;200),"невозможно",IF(ROUND((Переменные!B27*6/(Переменные!B21*0.5/100+1)),)&gt;=6000,6000,(ROUND((Переменные!B27*6/(Переменные!B21*0.5/100+1)),))))</f>
        <v>1800</v>
      </c>
      <c r="G8" s="140">
        <f>IF(OR(Переменные!C24&gt;B3,ROUND((Переменные!B27*8/(Переменные!B21*0.5/100+1)),)&lt;200),"невозможно",IF(ROUND((Переменные!B27*8/(Переменные!B21*0.5/100+1)),)&gt;=6000,6000,(ROUND((Переменные!B27*8/(Переменные!B21*0.5/100+1)),))))</f>
        <v>2400</v>
      </c>
      <c r="H8" s="139"/>
    </row>
    <row r="9" spans="1:8" s="58" customFormat="1" ht="31.5" customHeight="1">
      <c r="A9" s="257"/>
      <c r="B9" s="84" t="s">
        <v>115</v>
      </c>
      <c r="C9" s="101" t="s">
        <v>98</v>
      </c>
      <c r="D9" s="101" t="s">
        <v>98</v>
      </c>
      <c r="E9" s="101" t="s">
        <v>98</v>
      </c>
      <c r="F9" s="101" t="s">
        <v>98</v>
      </c>
      <c r="G9" s="101" t="s">
        <v>98</v>
      </c>
      <c r="H9" s="101"/>
    </row>
    <row r="10" spans="1:7" s="58" customFormat="1" ht="31.5" customHeight="1" hidden="1">
      <c r="A10" s="254" t="s">
        <v>117</v>
      </c>
      <c r="B10" s="85" t="s">
        <v>125</v>
      </c>
      <c r="C10" s="102" t="s">
        <v>98</v>
      </c>
      <c r="D10" s="102" t="s">
        <v>98</v>
      </c>
      <c r="E10" s="102" t="s">
        <v>98</v>
      </c>
      <c r="F10" s="102" t="s">
        <v>98</v>
      </c>
      <c r="G10" s="102" t="s">
        <v>98</v>
      </c>
    </row>
    <row r="11" spans="1:7" s="58" customFormat="1" ht="31.5" customHeight="1" hidden="1" thickBot="1">
      <c r="A11" s="255"/>
      <c r="B11" s="86" t="s">
        <v>115</v>
      </c>
      <c r="C11" s="103" t="s">
        <v>98</v>
      </c>
      <c r="D11" s="103" t="s">
        <v>98</v>
      </c>
      <c r="E11" s="103" t="s">
        <v>98</v>
      </c>
      <c r="F11" s="103" t="s">
        <v>98</v>
      </c>
      <c r="G11" s="103" t="s">
        <v>98</v>
      </c>
    </row>
    <row r="12" spans="1:9" ht="14.25" customHeight="1">
      <c r="A12" s="87"/>
      <c r="B12" s="88"/>
      <c r="C12" s="87"/>
      <c r="D12" s="87"/>
      <c r="E12" s="87"/>
      <c r="F12" s="87"/>
      <c r="G12" s="87"/>
      <c r="H12" s="87"/>
      <c r="I12" s="87"/>
    </row>
    <row r="13" spans="1:10" ht="16.5" customHeight="1" thickBot="1">
      <c r="A13" s="87"/>
      <c r="C13" s="93" t="s">
        <v>14</v>
      </c>
      <c r="D13" s="87"/>
      <c r="E13" s="87"/>
      <c r="F13" s="87"/>
      <c r="G13" s="87"/>
      <c r="H13" s="87"/>
      <c r="I13" s="87"/>
      <c r="J13" s="87"/>
    </row>
    <row r="14" spans="1:5" ht="15" customHeight="1">
      <c r="A14" s="87"/>
      <c r="B14" s="263" t="s">
        <v>127</v>
      </c>
      <c r="C14" s="265" t="s">
        <v>129</v>
      </c>
      <c r="D14" s="258" t="s">
        <v>128</v>
      </c>
      <c r="E14" s="123"/>
    </row>
    <row r="15" spans="1:5" ht="40.5" customHeight="1" thickBot="1">
      <c r="A15" s="87"/>
      <c r="B15" s="264"/>
      <c r="C15" s="266"/>
      <c r="D15" s="259"/>
      <c r="E15" s="123"/>
    </row>
    <row r="16" spans="1:5" s="58" customFormat="1" ht="26.25" customHeight="1" thickBot="1">
      <c r="A16" s="89"/>
      <c r="B16" s="107">
        <v>1000</v>
      </c>
      <c r="C16" s="94">
        <v>2</v>
      </c>
      <c r="D16" s="106">
        <f>IF(Расчет!$C$16=1,MAX('График-рассрочка 3'!F19:F21),IF(Расчет!$C$16=2,MAX('График-рассрочка 6'!F19:F24),IF(Расчет!$C$16=3,MAX(#REF!))))</f>
        <v>174.42478539726025</v>
      </c>
      <c r="E16" s="124"/>
    </row>
    <row r="17" spans="1:4" s="58" customFormat="1" ht="12.75">
      <c r="A17" s="89"/>
      <c r="B17" s="91"/>
      <c r="C17" s="92"/>
      <c r="D17" s="90"/>
    </row>
  </sheetData>
  <sheetProtection/>
  <mergeCells count="15">
    <mergeCell ref="F1:F2"/>
    <mergeCell ref="G1:H2"/>
    <mergeCell ref="A5:B7"/>
    <mergeCell ref="B1:B2"/>
    <mergeCell ref="C1:C2"/>
    <mergeCell ref="D1:D2"/>
    <mergeCell ref="E1:E2"/>
    <mergeCell ref="G3:H3"/>
    <mergeCell ref="C5:H5"/>
    <mergeCell ref="A10:A11"/>
    <mergeCell ref="A8:A9"/>
    <mergeCell ref="D14:D15"/>
    <mergeCell ref="C7:F7"/>
    <mergeCell ref="B14:B15"/>
    <mergeCell ref="C14:C15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C1:G256"/>
  <sheetViews>
    <sheetView zoomScalePageLayoutView="0" workbookViewId="0" topLeftCell="A1">
      <selection activeCell="E2" sqref="E2"/>
    </sheetView>
  </sheetViews>
  <sheetFormatPr defaultColWidth="9.125" defaultRowHeight="12.75"/>
  <cols>
    <col min="1" max="2" width="9.125" style="184" customWidth="1"/>
    <col min="3" max="3" width="40.375" style="184" customWidth="1"/>
    <col min="4" max="4" width="44.625" style="184" customWidth="1"/>
    <col min="5" max="5" width="31.625" style="184" customWidth="1"/>
    <col min="6" max="6" width="27.625" style="184" customWidth="1"/>
    <col min="7" max="7" width="28.875" style="184" customWidth="1"/>
    <col min="8" max="16384" width="9.125" style="184" customWidth="1"/>
  </cols>
  <sheetData>
    <row r="1" spans="3:5" ht="38.25" customHeight="1" thickBot="1">
      <c r="C1" s="181" t="s">
        <v>186</v>
      </c>
      <c r="D1" s="182" t="s">
        <v>187</v>
      </c>
      <c r="E1" s="183" t="s">
        <v>188</v>
      </c>
    </row>
    <row r="2" spans="3:5" ht="47.25" customHeight="1" thickBot="1">
      <c r="C2" s="185" t="s">
        <v>189</v>
      </c>
      <c r="D2" s="186" t="s">
        <v>187</v>
      </c>
      <c r="E2" s="187" t="s">
        <v>190</v>
      </c>
    </row>
    <row r="3" ht="27" customHeight="1"/>
    <row r="5" spans="3:7" ht="37.5" customHeight="1">
      <c r="C5" s="188" t="s">
        <v>191</v>
      </c>
      <c r="D5" s="188" t="s">
        <v>192</v>
      </c>
      <c r="E5" s="188" t="s">
        <v>193</v>
      </c>
      <c r="F5" s="189" t="s">
        <v>194</v>
      </c>
      <c r="G5" s="189" t="s">
        <v>195</v>
      </c>
    </row>
    <row r="6" spans="3:7" ht="22.5" customHeight="1">
      <c r="C6" s="190" t="s">
        <v>196</v>
      </c>
      <c r="D6" s="191" t="s">
        <v>197</v>
      </c>
      <c r="E6" s="192"/>
      <c r="F6" s="192" t="s">
        <v>198</v>
      </c>
      <c r="G6" s="192" t="s">
        <v>199</v>
      </c>
    </row>
    <row r="7" spans="3:7" ht="36.75" customHeight="1">
      <c r="C7" s="193" t="s">
        <v>200</v>
      </c>
      <c r="D7" s="194" t="s">
        <v>201</v>
      </c>
      <c r="E7" s="195" t="s">
        <v>202</v>
      </c>
      <c r="F7" s="196" t="s">
        <v>198</v>
      </c>
      <c r="G7" s="197" t="s">
        <v>199</v>
      </c>
    </row>
    <row r="8" spans="3:7" ht="36.75" customHeight="1">
      <c r="C8" s="190" t="s">
        <v>203</v>
      </c>
      <c r="D8" s="191" t="s">
        <v>204</v>
      </c>
      <c r="E8" s="192"/>
      <c r="F8" s="192" t="s">
        <v>198</v>
      </c>
      <c r="G8" s="192" t="s">
        <v>199</v>
      </c>
    </row>
    <row r="9" spans="3:7" ht="15">
      <c r="C9" s="198" t="s">
        <v>205</v>
      </c>
      <c r="D9" s="199" t="s">
        <v>206</v>
      </c>
      <c r="E9" s="200" t="s">
        <v>207</v>
      </c>
      <c r="F9" s="200" t="s">
        <v>198</v>
      </c>
      <c r="G9" s="200" t="s">
        <v>208</v>
      </c>
    </row>
    <row r="10" spans="3:7" ht="15">
      <c r="C10" s="201" t="s">
        <v>209</v>
      </c>
      <c r="D10" s="202" t="s">
        <v>210</v>
      </c>
      <c r="E10" s="192"/>
      <c r="F10" s="192" t="s">
        <v>198</v>
      </c>
      <c r="G10" s="192" t="s">
        <v>199</v>
      </c>
    </row>
    <row r="11" spans="3:7" ht="15">
      <c r="C11" s="203" t="s">
        <v>211</v>
      </c>
      <c r="D11" s="204" t="s">
        <v>212</v>
      </c>
      <c r="E11" s="200" t="s">
        <v>207</v>
      </c>
      <c r="F11" s="200" t="s">
        <v>198</v>
      </c>
      <c r="G11" s="200" t="s">
        <v>208</v>
      </c>
    </row>
    <row r="12" spans="3:7" ht="15">
      <c r="C12" s="205" t="s">
        <v>213</v>
      </c>
      <c r="D12" s="206" t="s">
        <v>214</v>
      </c>
      <c r="E12" s="200" t="s">
        <v>207</v>
      </c>
      <c r="F12" s="200" t="s">
        <v>198</v>
      </c>
      <c r="G12" s="200" t="s">
        <v>208</v>
      </c>
    </row>
    <row r="13" spans="3:7" ht="26.25" customHeight="1">
      <c r="C13" s="190" t="s">
        <v>215</v>
      </c>
      <c r="D13" s="191" t="s">
        <v>216</v>
      </c>
      <c r="E13" s="192"/>
      <c r="F13" s="192" t="s">
        <v>198</v>
      </c>
      <c r="G13" s="192" t="s">
        <v>199</v>
      </c>
    </row>
    <row r="14" spans="3:7" ht="15">
      <c r="C14" s="198" t="s">
        <v>217</v>
      </c>
      <c r="D14" s="199" t="s">
        <v>218</v>
      </c>
      <c r="E14" s="200" t="s">
        <v>207</v>
      </c>
      <c r="F14" s="200" t="s">
        <v>198</v>
      </c>
      <c r="G14" s="200" t="s">
        <v>208</v>
      </c>
    </row>
    <row r="15" spans="3:7" ht="15">
      <c r="C15" s="201" t="s">
        <v>219</v>
      </c>
      <c r="D15" s="202" t="s">
        <v>220</v>
      </c>
      <c r="E15" s="192"/>
      <c r="F15" s="192" t="s">
        <v>198</v>
      </c>
      <c r="G15" s="192" t="s">
        <v>199</v>
      </c>
    </row>
    <row r="16" spans="3:7" ht="15">
      <c r="C16" s="201" t="s">
        <v>221</v>
      </c>
      <c r="D16" s="202" t="s">
        <v>222</v>
      </c>
      <c r="E16" s="192"/>
      <c r="F16" s="192" t="s">
        <v>198</v>
      </c>
      <c r="G16" s="192" t="s">
        <v>199</v>
      </c>
    </row>
    <row r="17" spans="3:7" ht="15">
      <c r="C17" s="201" t="s">
        <v>223</v>
      </c>
      <c r="D17" s="202" t="s">
        <v>224</v>
      </c>
      <c r="E17" s="192"/>
      <c r="F17" s="192" t="s">
        <v>198</v>
      </c>
      <c r="G17" s="192" t="s">
        <v>199</v>
      </c>
    </row>
    <row r="18" spans="3:7" ht="15">
      <c r="C18" s="201" t="s">
        <v>225</v>
      </c>
      <c r="D18" s="202" t="s">
        <v>226</v>
      </c>
      <c r="E18" s="192"/>
      <c r="F18" s="192" t="s">
        <v>198</v>
      </c>
      <c r="G18" s="192" t="s">
        <v>199</v>
      </c>
    </row>
    <row r="19" spans="3:7" ht="15">
      <c r="C19" s="201" t="s">
        <v>227</v>
      </c>
      <c r="D19" s="202" t="s">
        <v>228</v>
      </c>
      <c r="E19" s="192"/>
      <c r="F19" s="192" t="s">
        <v>198</v>
      </c>
      <c r="G19" s="192" t="s">
        <v>199</v>
      </c>
    </row>
    <row r="20" spans="3:7" ht="15">
      <c r="C20" s="201" t="s">
        <v>229</v>
      </c>
      <c r="D20" s="202" t="s">
        <v>230</v>
      </c>
      <c r="E20" s="192"/>
      <c r="F20" s="192" t="s">
        <v>198</v>
      </c>
      <c r="G20" s="192" t="s">
        <v>199</v>
      </c>
    </row>
    <row r="21" spans="3:7" ht="15">
      <c r="C21" s="201" t="s">
        <v>231</v>
      </c>
      <c r="D21" s="202" t="s">
        <v>232</v>
      </c>
      <c r="E21" s="192"/>
      <c r="F21" s="192" t="s">
        <v>198</v>
      </c>
      <c r="G21" s="192" t="s">
        <v>199</v>
      </c>
    </row>
    <row r="22" spans="3:7" ht="15">
      <c r="C22" s="201" t="s">
        <v>233</v>
      </c>
      <c r="D22" s="202" t="s">
        <v>234</v>
      </c>
      <c r="E22" s="192"/>
      <c r="F22" s="207" t="s">
        <v>198</v>
      </c>
      <c r="G22" s="196" t="s">
        <v>199</v>
      </c>
    </row>
    <row r="23" spans="3:7" ht="15">
      <c r="C23" s="198" t="s">
        <v>235</v>
      </c>
      <c r="D23" s="199" t="s">
        <v>236</v>
      </c>
      <c r="E23" s="200" t="s">
        <v>207</v>
      </c>
      <c r="F23" s="208" t="s">
        <v>198</v>
      </c>
      <c r="G23" s="209" t="s">
        <v>208</v>
      </c>
    </row>
    <row r="24" spans="3:7" ht="15">
      <c r="C24" s="201" t="s">
        <v>237</v>
      </c>
      <c r="D24" s="202" t="s">
        <v>238</v>
      </c>
      <c r="E24" s="192"/>
      <c r="F24" s="192" t="s">
        <v>198</v>
      </c>
      <c r="G24" s="192" t="s">
        <v>199</v>
      </c>
    </row>
    <row r="25" spans="3:7" ht="30.75">
      <c r="C25" s="210" t="s">
        <v>239</v>
      </c>
      <c r="D25" s="211" t="s">
        <v>240</v>
      </c>
      <c r="E25" s="192"/>
      <c r="F25" s="207" t="s">
        <v>198</v>
      </c>
      <c r="G25" s="196" t="s">
        <v>199</v>
      </c>
    </row>
    <row r="26" spans="3:7" ht="15">
      <c r="C26" s="198" t="s">
        <v>241</v>
      </c>
      <c r="D26" s="199" t="s">
        <v>242</v>
      </c>
      <c r="E26" s="200" t="s">
        <v>207</v>
      </c>
      <c r="F26" s="208" t="s">
        <v>198</v>
      </c>
      <c r="G26" s="209" t="s">
        <v>208</v>
      </c>
    </row>
    <row r="27" spans="3:7" ht="15">
      <c r="C27" s="198" t="s">
        <v>243</v>
      </c>
      <c r="D27" s="199" t="s">
        <v>244</v>
      </c>
      <c r="E27" s="200" t="s">
        <v>207</v>
      </c>
      <c r="F27" s="208" t="s">
        <v>198</v>
      </c>
      <c r="G27" s="209" t="s">
        <v>208</v>
      </c>
    </row>
    <row r="28" spans="3:7" ht="15">
      <c r="C28" s="201" t="s">
        <v>245</v>
      </c>
      <c r="D28" s="202" t="s">
        <v>246</v>
      </c>
      <c r="E28" s="192"/>
      <c r="F28" s="207" t="s">
        <v>198</v>
      </c>
      <c r="G28" s="196" t="s">
        <v>199</v>
      </c>
    </row>
    <row r="29" spans="3:7" ht="15">
      <c r="C29" s="201" t="s">
        <v>247</v>
      </c>
      <c r="D29" s="202" t="s">
        <v>248</v>
      </c>
      <c r="E29" s="192"/>
      <c r="F29" s="207" t="s">
        <v>198</v>
      </c>
      <c r="G29" s="196" t="s">
        <v>199</v>
      </c>
    </row>
    <row r="30" spans="3:7" ht="15">
      <c r="C30" s="201" t="s">
        <v>249</v>
      </c>
      <c r="D30" s="202" t="s">
        <v>250</v>
      </c>
      <c r="E30" s="192"/>
      <c r="F30" s="207" t="s">
        <v>198</v>
      </c>
      <c r="G30" s="196" t="s">
        <v>199</v>
      </c>
    </row>
    <row r="31" spans="3:7" ht="15">
      <c r="C31" s="201" t="s">
        <v>251</v>
      </c>
      <c r="D31" s="202" t="s">
        <v>252</v>
      </c>
      <c r="E31" s="192"/>
      <c r="F31" s="207" t="s">
        <v>198</v>
      </c>
      <c r="G31" s="196" t="s">
        <v>199</v>
      </c>
    </row>
    <row r="32" spans="3:7" ht="15">
      <c r="C32" s="201" t="s">
        <v>253</v>
      </c>
      <c r="D32" s="202" t="s">
        <v>254</v>
      </c>
      <c r="E32" s="192"/>
      <c r="F32" s="207" t="s">
        <v>198</v>
      </c>
      <c r="G32" s="196" t="s">
        <v>199</v>
      </c>
    </row>
    <row r="33" spans="3:7" ht="15">
      <c r="C33" s="201" t="s">
        <v>255</v>
      </c>
      <c r="D33" s="202" t="s">
        <v>256</v>
      </c>
      <c r="E33" s="192"/>
      <c r="F33" s="207" t="s">
        <v>198</v>
      </c>
      <c r="G33" s="196" t="s">
        <v>199</v>
      </c>
    </row>
    <row r="34" spans="3:7" ht="15">
      <c r="C34" s="201" t="s">
        <v>257</v>
      </c>
      <c r="D34" s="202" t="s">
        <v>258</v>
      </c>
      <c r="E34" s="192"/>
      <c r="F34" s="207" t="s">
        <v>198</v>
      </c>
      <c r="G34" s="196" t="s">
        <v>199</v>
      </c>
    </row>
    <row r="35" spans="3:7" ht="15">
      <c r="C35" s="198" t="s">
        <v>259</v>
      </c>
      <c r="D35" s="199" t="s">
        <v>260</v>
      </c>
      <c r="E35" s="200" t="s">
        <v>207</v>
      </c>
      <c r="F35" s="208" t="s">
        <v>198</v>
      </c>
      <c r="G35" s="209" t="s">
        <v>208</v>
      </c>
    </row>
    <row r="36" spans="3:7" ht="15">
      <c r="C36" s="201" t="s">
        <v>261</v>
      </c>
      <c r="D36" s="202" t="s">
        <v>262</v>
      </c>
      <c r="E36" s="192"/>
      <c r="F36" s="192" t="s">
        <v>198</v>
      </c>
      <c r="G36" s="192" t="s">
        <v>199</v>
      </c>
    </row>
    <row r="37" spans="3:7" ht="46.5">
      <c r="C37" s="198" t="s">
        <v>263</v>
      </c>
      <c r="D37" s="212" t="s">
        <v>264</v>
      </c>
      <c r="E37" s="200"/>
      <c r="F37" s="208" t="s">
        <v>198</v>
      </c>
      <c r="G37" s="209" t="s">
        <v>208</v>
      </c>
    </row>
    <row r="38" spans="3:7" ht="15">
      <c r="C38" s="201" t="s">
        <v>265</v>
      </c>
      <c r="D38" s="202" t="s">
        <v>265</v>
      </c>
      <c r="E38" s="192"/>
      <c r="F38" s="207" t="s">
        <v>198</v>
      </c>
      <c r="G38" s="196" t="s">
        <v>199</v>
      </c>
    </row>
    <row r="39" spans="3:7" ht="15">
      <c r="C39" s="201" t="s">
        <v>266</v>
      </c>
      <c r="D39" s="202" t="s">
        <v>267</v>
      </c>
      <c r="E39" s="192"/>
      <c r="F39" s="207" t="s">
        <v>198</v>
      </c>
      <c r="G39" s="196" t="s">
        <v>199</v>
      </c>
    </row>
    <row r="40" spans="3:7" ht="15">
      <c r="C40" s="198" t="s">
        <v>219</v>
      </c>
      <c r="D40" s="199" t="s">
        <v>268</v>
      </c>
      <c r="E40" s="200" t="s">
        <v>207</v>
      </c>
      <c r="F40" s="200" t="s">
        <v>198</v>
      </c>
      <c r="G40" s="200" t="s">
        <v>208</v>
      </c>
    </row>
    <row r="41" spans="3:7" ht="15">
      <c r="C41" s="201" t="s">
        <v>269</v>
      </c>
      <c r="D41" s="202" t="s">
        <v>270</v>
      </c>
      <c r="E41" s="192"/>
      <c r="F41" s="207" t="s">
        <v>198</v>
      </c>
      <c r="G41" s="196" t="s">
        <v>199</v>
      </c>
    </row>
    <row r="42" spans="3:7" ht="15">
      <c r="C42" s="213" t="s">
        <v>271</v>
      </c>
      <c r="D42" s="199" t="s">
        <v>272</v>
      </c>
      <c r="E42" s="200" t="s">
        <v>207</v>
      </c>
      <c r="F42" s="200" t="s">
        <v>198</v>
      </c>
      <c r="G42" s="200" t="s">
        <v>208</v>
      </c>
    </row>
    <row r="43" spans="3:7" ht="30.75">
      <c r="C43" s="213" t="s">
        <v>273</v>
      </c>
      <c r="D43" s="199" t="s">
        <v>274</v>
      </c>
      <c r="E43" s="200" t="s">
        <v>207</v>
      </c>
      <c r="F43" s="200" t="s">
        <v>198</v>
      </c>
      <c r="G43" s="200" t="s">
        <v>208</v>
      </c>
    </row>
    <row r="44" spans="3:7" ht="15">
      <c r="C44" s="198" t="s">
        <v>275</v>
      </c>
      <c r="D44" s="199" t="s">
        <v>276</v>
      </c>
      <c r="E44" s="200" t="s">
        <v>207</v>
      </c>
      <c r="F44" s="200" t="s">
        <v>198</v>
      </c>
      <c r="G44" s="200" t="s">
        <v>208</v>
      </c>
    </row>
    <row r="45" spans="3:7" ht="30.75">
      <c r="C45" s="213" t="s">
        <v>277</v>
      </c>
      <c r="D45" s="199" t="s">
        <v>278</v>
      </c>
      <c r="E45" s="200" t="s">
        <v>207</v>
      </c>
      <c r="F45" s="200" t="s">
        <v>198</v>
      </c>
      <c r="G45" s="200" t="s">
        <v>208</v>
      </c>
    </row>
    <row r="46" spans="3:7" ht="15">
      <c r="C46" s="213" t="s">
        <v>279</v>
      </c>
      <c r="D46" s="199" t="s">
        <v>280</v>
      </c>
      <c r="E46" s="200" t="s">
        <v>207</v>
      </c>
      <c r="F46" s="200" t="s">
        <v>198</v>
      </c>
      <c r="G46" s="200" t="s">
        <v>208</v>
      </c>
    </row>
    <row r="47" spans="3:7" ht="15">
      <c r="C47" s="201" t="s">
        <v>281</v>
      </c>
      <c r="D47" s="202" t="s">
        <v>282</v>
      </c>
      <c r="E47" s="192"/>
      <c r="F47" s="207" t="s">
        <v>198</v>
      </c>
      <c r="G47" s="196" t="s">
        <v>199</v>
      </c>
    </row>
    <row r="48" spans="3:7" ht="15">
      <c r="C48" s="213" t="s">
        <v>283</v>
      </c>
      <c r="D48" s="199" t="s">
        <v>284</v>
      </c>
      <c r="E48" s="200" t="s">
        <v>207</v>
      </c>
      <c r="F48" s="200" t="s">
        <v>198</v>
      </c>
      <c r="G48" s="200" t="s">
        <v>208</v>
      </c>
    </row>
    <row r="49" spans="3:7" ht="15">
      <c r="C49" s="201" t="s">
        <v>285</v>
      </c>
      <c r="D49" s="202" t="s">
        <v>286</v>
      </c>
      <c r="E49" s="192"/>
      <c r="F49" s="207" t="s">
        <v>198</v>
      </c>
      <c r="G49" s="196" t="s">
        <v>199</v>
      </c>
    </row>
    <row r="50" spans="3:7" ht="15">
      <c r="C50" s="213" t="s">
        <v>287</v>
      </c>
      <c r="D50" s="199" t="s">
        <v>288</v>
      </c>
      <c r="E50" s="200" t="s">
        <v>207</v>
      </c>
      <c r="F50" s="200" t="s">
        <v>198</v>
      </c>
      <c r="G50" s="200" t="s">
        <v>208</v>
      </c>
    </row>
    <row r="51" spans="3:7" ht="15">
      <c r="C51" s="201" t="s">
        <v>289</v>
      </c>
      <c r="D51" s="202" t="s">
        <v>290</v>
      </c>
      <c r="E51" s="192"/>
      <c r="F51" s="207" t="s">
        <v>198</v>
      </c>
      <c r="G51" s="196" t="s">
        <v>199</v>
      </c>
    </row>
    <row r="52" spans="3:7" ht="15">
      <c r="C52" s="214" t="s">
        <v>291</v>
      </c>
      <c r="D52" s="202" t="s">
        <v>292</v>
      </c>
      <c r="E52" s="192"/>
      <c r="F52" s="207" t="s">
        <v>198</v>
      </c>
      <c r="G52" s="196" t="s">
        <v>199</v>
      </c>
    </row>
    <row r="53" spans="3:7" ht="15">
      <c r="C53" s="201" t="s">
        <v>293</v>
      </c>
      <c r="D53" s="202" t="s">
        <v>294</v>
      </c>
      <c r="E53" s="192"/>
      <c r="F53" s="207" t="s">
        <v>198</v>
      </c>
      <c r="G53" s="196" t="s">
        <v>199</v>
      </c>
    </row>
    <row r="54" spans="3:7" ht="30.75">
      <c r="C54" s="201" t="s">
        <v>295</v>
      </c>
      <c r="D54" s="215" t="s">
        <v>296</v>
      </c>
      <c r="E54" s="192"/>
      <c r="F54" s="207" t="s">
        <v>198</v>
      </c>
      <c r="G54" s="196" t="s">
        <v>199</v>
      </c>
    </row>
    <row r="55" spans="3:7" ht="15">
      <c r="C55" s="201" t="s">
        <v>297</v>
      </c>
      <c r="D55" s="202" t="s">
        <v>298</v>
      </c>
      <c r="E55" s="192"/>
      <c r="F55" s="207" t="s">
        <v>198</v>
      </c>
      <c r="G55" s="196" t="s">
        <v>199</v>
      </c>
    </row>
    <row r="56" spans="3:7" ht="15">
      <c r="C56" s="198" t="s">
        <v>299</v>
      </c>
      <c r="D56" s="199" t="s">
        <v>300</v>
      </c>
      <c r="E56" s="200" t="s">
        <v>207</v>
      </c>
      <c r="F56" s="208" t="s">
        <v>198</v>
      </c>
      <c r="G56" s="209" t="s">
        <v>208</v>
      </c>
    </row>
    <row r="57" spans="3:7" ht="15">
      <c r="C57" s="201" t="s">
        <v>301</v>
      </c>
      <c r="D57" s="215" t="s">
        <v>302</v>
      </c>
      <c r="E57" s="192"/>
      <c r="F57" s="207" t="s">
        <v>198</v>
      </c>
      <c r="G57" s="196" t="s">
        <v>199</v>
      </c>
    </row>
    <row r="58" spans="3:7" ht="15">
      <c r="C58" s="198" t="s">
        <v>303</v>
      </c>
      <c r="D58" s="199" t="s">
        <v>304</v>
      </c>
      <c r="E58" s="200" t="s">
        <v>207</v>
      </c>
      <c r="F58" s="208" t="s">
        <v>198</v>
      </c>
      <c r="G58" s="209" t="s">
        <v>208</v>
      </c>
    </row>
    <row r="59" spans="3:7" ht="15">
      <c r="C59" s="201" t="s">
        <v>305</v>
      </c>
      <c r="D59" s="202" t="s">
        <v>306</v>
      </c>
      <c r="E59" s="192"/>
      <c r="F59" s="207" t="s">
        <v>198</v>
      </c>
      <c r="G59" s="196" t="s">
        <v>199</v>
      </c>
    </row>
    <row r="60" spans="3:7" ht="15">
      <c r="C60" s="201" t="s">
        <v>307</v>
      </c>
      <c r="D60" s="202" t="s">
        <v>308</v>
      </c>
      <c r="E60" s="192"/>
      <c r="F60" s="207" t="s">
        <v>198</v>
      </c>
      <c r="G60" s="196" t="s">
        <v>199</v>
      </c>
    </row>
    <row r="61" spans="3:7" ht="15">
      <c r="C61" s="198" t="s">
        <v>309</v>
      </c>
      <c r="D61" s="199" t="s">
        <v>310</v>
      </c>
      <c r="E61" s="200" t="s">
        <v>207</v>
      </c>
      <c r="F61" s="200" t="s">
        <v>198</v>
      </c>
      <c r="G61" s="200" t="s">
        <v>208</v>
      </c>
    </row>
    <row r="62" spans="3:7" ht="15">
      <c r="C62" s="198" t="s">
        <v>311</v>
      </c>
      <c r="D62" s="199" t="s">
        <v>310</v>
      </c>
      <c r="E62" s="200" t="s">
        <v>207</v>
      </c>
      <c r="F62" s="200" t="s">
        <v>198</v>
      </c>
      <c r="G62" s="200" t="s">
        <v>208</v>
      </c>
    </row>
    <row r="63" spans="3:7" ht="15">
      <c r="C63" s="198" t="s">
        <v>312</v>
      </c>
      <c r="D63" s="199" t="s">
        <v>313</v>
      </c>
      <c r="E63" s="200" t="s">
        <v>207</v>
      </c>
      <c r="F63" s="200" t="s">
        <v>198</v>
      </c>
      <c r="G63" s="200" t="s">
        <v>208</v>
      </c>
    </row>
    <row r="64" spans="3:7" ht="15">
      <c r="C64" s="198" t="s">
        <v>314</v>
      </c>
      <c r="D64" s="199" t="s">
        <v>315</v>
      </c>
      <c r="E64" s="200" t="s">
        <v>207</v>
      </c>
      <c r="F64" s="208" t="s">
        <v>198</v>
      </c>
      <c r="G64" s="209" t="s">
        <v>208</v>
      </c>
    </row>
    <row r="65" spans="3:7" ht="15">
      <c r="C65" s="198" t="s">
        <v>316</v>
      </c>
      <c r="D65" s="199" t="s">
        <v>317</v>
      </c>
      <c r="E65" s="200" t="s">
        <v>207</v>
      </c>
      <c r="F65" s="208" t="s">
        <v>198</v>
      </c>
      <c r="G65" s="209" t="s">
        <v>208</v>
      </c>
    </row>
    <row r="66" spans="3:7" ht="15">
      <c r="C66" s="198" t="s">
        <v>318</v>
      </c>
      <c r="D66" s="199" t="s">
        <v>319</v>
      </c>
      <c r="E66" s="200" t="s">
        <v>207</v>
      </c>
      <c r="F66" s="200" t="s">
        <v>198</v>
      </c>
      <c r="G66" s="200" t="s">
        <v>208</v>
      </c>
    </row>
    <row r="67" spans="3:7" ht="15">
      <c r="C67" s="198" t="s">
        <v>320</v>
      </c>
      <c r="D67" s="199" t="s">
        <v>321</v>
      </c>
      <c r="E67" s="200" t="s">
        <v>207</v>
      </c>
      <c r="F67" s="208" t="s">
        <v>198</v>
      </c>
      <c r="G67" s="209" t="s">
        <v>208</v>
      </c>
    </row>
    <row r="68" spans="3:7" ht="15">
      <c r="C68" s="198" t="s">
        <v>314</v>
      </c>
      <c r="D68" s="199" t="s">
        <v>322</v>
      </c>
      <c r="E68" s="200" t="s">
        <v>207</v>
      </c>
      <c r="F68" s="208" t="s">
        <v>198</v>
      </c>
      <c r="G68" s="209" t="s">
        <v>208</v>
      </c>
    </row>
    <row r="69" spans="3:7" ht="15">
      <c r="C69" s="201" t="s">
        <v>323</v>
      </c>
      <c r="D69" s="202" t="s">
        <v>324</v>
      </c>
      <c r="E69" s="192"/>
      <c r="F69" s="207" t="s">
        <v>198</v>
      </c>
      <c r="G69" s="196" t="s">
        <v>199</v>
      </c>
    </row>
    <row r="70" spans="3:7" ht="15">
      <c r="C70" s="201" t="s">
        <v>325</v>
      </c>
      <c r="D70" s="202" t="s">
        <v>326</v>
      </c>
      <c r="E70" s="192"/>
      <c r="F70" s="207" t="s">
        <v>198</v>
      </c>
      <c r="G70" s="196" t="s">
        <v>199</v>
      </c>
    </row>
    <row r="71" spans="3:7" ht="15">
      <c r="C71" s="213" t="s">
        <v>327</v>
      </c>
      <c r="D71" s="199" t="s">
        <v>328</v>
      </c>
      <c r="E71" s="200" t="s">
        <v>207</v>
      </c>
      <c r="F71" s="208" t="s">
        <v>198</v>
      </c>
      <c r="G71" s="209" t="s">
        <v>208</v>
      </c>
    </row>
    <row r="72" spans="3:7" ht="30.75">
      <c r="C72" s="213" t="s">
        <v>329</v>
      </c>
      <c r="D72" s="199" t="s">
        <v>330</v>
      </c>
      <c r="E72" s="200" t="s">
        <v>207</v>
      </c>
      <c r="F72" s="208" t="s">
        <v>198</v>
      </c>
      <c r="G72" s="209" t="s">
        <v>208</v>
      </c>
    </row>
    <row r="73" spans="3:7" ht="30.75">
      <c r="C73" s="216" t="s">
        <v>331</v>
      </c>
      <c r="D73" s="199" t="s">
        <v>332</v>
      </c>
      <c r="E73" s="200" t="s">
        <v>207</v>
      </c>
      <c r="F73" s="208" t="s">
        <v>198</v>
      </c>
      <c r="G73" s="209" t="s">
        <v>208</v>
      </c>
    </row>
    <row r="74" spans="3:7" ht="15">
      <c r="C74" s="214" t="s">
        <v>333</v>
      </c>
      <c r="D74" s="202" t="s">
        <v>334</v>
      </c>
      <c r="E74" s="192"/>
      <c r="F74" s="207" t="s">
        <v>198</v>
      </c>
      <c r="G74" s="196" t="s">
        <v>199</v>
      </c>
    </row>
    <row r="75" spans="3:7" ht="15">
      <c r="C75" s="198" t="s">
        <v>335</v>
      </c>
      <c r="D75" s="199" t="s">
        <v>336</v>
      </c>
      <c r="E75" s="200" t="s">
        <v>207</v>
      </c>
      <c r="F75" s="208" t="s">
        <v>198</v>
      </c>
      <c r="G75" s="209" t="s">
        <v>208</v>
      </c>
    </row>
    <row r="76" spans="3:7" ht="15">
      <c r="C76" s="217" t="s">
        <v>337</v>
      </c>
      <c r="D76" s="202" t="s">
        <v>338</v>
      </c>
      <c r="E76" s="192"/>
      <c r="F76" s="207" t="s">
        <v>198</v>
      </c>
      <c r="G76" s="196" t="s">
        <v>199</v>
      </c>
    </row>
    <row r="77" spans="3:7" ht="15">
      <c r="C77" s="214" t="s">
        <v>339</v>
      </c>
      <c r="D77" s="202" t="s">
        <v>340</v>
      </c>
      <c r="E77" s="192"/>
      <c r="F77" s="207" t="s">
        <v>198</v>
      </c>
      <c r="G77" s="196" t="s">
        <v>199</v>
      </c>
    </row>
    <row r="78" spans="3:7" ht="15">
      <c r="C78" s="214" t="s">
        <v>339</v>
      </c>
      <c r="D78" s="202" t="s">
        <v>341</v>
      </c>
      <c r="E78" s="192"/>
      <c r="F78" s="207" t="s">
        <v>198</v>
      </c>
      <c r="G78" s="196" t="s">
        <v>199</v>
      </c>
    </row>
    <row r="79" spans="3:7" ht="30.75">
      <c r="C79" s="213" t="s">
        <v>342</v>
      </c>
      <c r="D79" s="199" t="s">
        <v>343</v>
      </c>
      <c r="E79" s="218" t="s">
        <v>207</v>
      </c>
      <c r="F79" s="208" t="s">
        <v>198</v>
      </c>
      <c r="G79" s="208" t="s">
        <v>208</v>
      </c>
    </row>
    <row r="80" spans="3:7" ht="30.75">
      <c r="C80" s="213" t="s">
        <v>344</v>
      </c>
      <c r="D80" s="199" t="s">
        <v>345</v>
      </c>
      <c r="E80" s="218" t="s">
        <v>207</v>
      </c>
      <c r="F80" s="208" t="s">
        <v>198</v>
      </c>
      <c r="G80" s="208" t="s">
        <v>208</v>
      </c>
    </row>
    <row r="81" spans="3:7" ht="15">
      <c r="C81" s="213" t="s">
        <v>346</v>
      </c>
      <c r="D81" s="199" t="s">
        <v>347</v>
      </c>
      <c r="E81" s="218" t="s">
        <v>207</v>
      </c>
      <c r="F81" s="208" t="s">
        <v>198</v>
      </c>
      <c r="G81" s="208" t="s">
        <v>208</v>
      </c>
    </row>
    <row r="82" spans="3:7" ht="15">
      <c r="C82" s="214" t="s">
        <v>348</v>
      </c>
      <c r="D82" s="202" t="s">
        <v>349</v>
      </c>
      <c r="E82" s="192"/>
      <c r="F82" s="207" t="s">
        <v>198</v>
      </c>
      <c r="G82" s="196" t="s">
        <v>199</v>
      </c>
    </row>
    <row r="83" spans="3:7" ht="15">
      <c r="C83" s="214" t="s">
        <v>350</v>
      </c>
      <c r="D83" s="202" t="s">
        <v>351</v>
      </c>
      <c r="E83" s="192"/>
      <c r="F83" s="207" t="s">
        <v>198</v>
      </c>
      <c r="G83" s="196" t="s">
        <v>199</v>
      </c>
    </row>
    <row r="84" spans="3:7" ht="15">
      <c r="C84" s="214" t="s">
        <v>352</v>
      </c>
      <c r="D84" s="202" t="s">
        <v>353</v>
      </c>
      <c r="E84" s="192"/>
      <c r="F84" s="207" t="s">
        <v>198</v>
      </c>
      <c r="G84" s="196" t="s">
        <v>199</v>
      </c>
    </row>
    <row r="85" spans="3:7" ht="15">
      <c r="C85" s="214" t="s">
        <v>354</v>
      </c>
      <c r="D85" s="202" t="s">
        <v>355</v>
      </c>
      <c r="E85" s="192"/>
      <c r="F85" s="207" t="s">
        <v>198</v>
      </c>
      <c r="G85" s="196" t="s">
        <v>199</v>
      </c>
    </row>
    <row r="86" spans="3:7" ht="30.75">
      <c r="C86" s="214" t="s">
        <v>356</v>
      </c>
      <c r="D86" s="202" t="s">
        <v>357</v>
      </c>
      <c r="E86" s="192"/>
      <c r="F86" s="207" t="s">
        <v>198</v>
      </c>
      <c r="G86" s="196" t="s">
        <v>199</v>
      </c>
    </row>
    <row r="87" spans="3:7" ht="15">
      <c r="C87" s="213" t="s">
        <v>358</v>
      </c>
      <c r="D87" s="199" t="s">
        <v>359</v>
      </c>
      <c r="E87" s="218" t="s">
        <v>207</v>
      </c>
      <c r="F87" s="208" t="s">
        <v>198</v>
      </c>
      <c r="G87" s="208" t="s">
        <v>208</v>
      </c>
    </row>
    <row r="88" spans="3:7" ht="15">
      <c r="C88" s="213" t="s">
        <v>360</v>
      </c>
      <c r="D88" s="199" t="s">
        <v>361</v>
      </c>
      <c r="E88" s="218" t="s">
        <v>207</v>
      </c>
      <c r="F88" s="208" t="s">
        <v>198</v>
      </c>
      <c r="G88" s="208" t="s">
        <v>208</v>
      </c>
    </row>
    <row r="89" spans="3:7" ht="46.5">
      <c r="C89" s="213" t="s">
        <v>362</v>
      </c>
      <c r="D89" s="199" t="s">
        <v>363</v>
      </c>
      <c r="E89" s="218" t="s">
        <v>207</v>
      </c>
      <c r="F89" s="208" t="s">
        <v>198</v>
      </c>
      <c r="G89" s="208" t="s">
        <v>208</v>
      </c>
    </row>
    <row r="90" spans="3:7" ht="30.75">
      <c r="C90" s="213" t="s">
        <v>364</v>
      </c>
      <c r="D90" s="199" t="s">
        <v>365</v>
      </c>
      <c r="E90" s="218" t="s">
        <v>207</v>
      </c>
      <c r="F90" s="208" t="s">
        <v>198</v>
      </c>
      <c r="G90" s="208" t="s">
        <v>208</v>
      </c>
    </row>
    <row r="91" spans="3:7" ht="15">
      <c r="C91" s="213" t="s">
        <v>366</v>
      </c>
      <c r="D91" s="199" t="s">
        <v>367</v>
      </c>
      <c r="E91" s="218" t="s">
        <v>207</v>
      </c>
      <c r="F91" s="208" t="s">
        <v>198</v>
      </c>
      <c r="G91" s="208" t="s">
        <v>208</v>
      </c>
    </row>
    <row r="92" spans="3:7" ht="30.75">
      <c r="C92" s="214" t="s">
        <v>368</v>
      </c>
      <c r="D92" s="202" t="s">
        <v>369</v>
      </c>
      <c r="E92" s="192"/>
      <c r="F92" s="207" t="s">
        <v>198</v>
      </c>
      <c r="G92" s="196" t="s">
        <v>199</v>
      </c>
    </row>
    <row r="93" spans="3:7" ht="15">
      <c r="C93" s="213" t="s">
        <v>370</v>
      </c>
      <c r="D93" s="199" t="s">
        <v>371</v>
      </c>
      <c r="E93" s="218" t="s">
        <v>207</v>
      </c>
      <c r="F93" s="208" t="s">
        <v>198</v>
      </c>
      <c r="G93" s="208" t="s">
        <v>208</v>
      </c>
    </row>
    <row r="94" spans="3:7" ht="30.75">
      <c r="C94" s="214" t="s">
        <v>372</v>
      </c>
      <c r="D94" s="202" t="s">
        <v>373</v>
      </c>
      <c r="E94" s="192"/>
      <c r="F94" s="207" t="s">
        <v>198</v>
      </c>
      <c r="G94" s="196" t="s">
        <v>199</v>
      </c>
    </row>
    <row r="95" spans="3:7" ht="30.75">
      <c r="C95" s="214" t="s">
        <v>374</v>
      </c>
      <c r="D95" s="215" t="s">
        <v>375</v>
      </c>
      <c r="E95" s="192"/>
      <c r="F95" s="207" t="s">
        <v>198</v>
      </c>
      <c r="G95" s="196" t="s">
        <v>199</v>
      </c>
    </row>
    <row r="96" spans="3:7" ht="30.75">
      <c r="C96" s="214" t="s">
        <v>376</v>
      </c>
      <c r="D96" s="215" t="s">
        <v>377</v>
      </c>
      <c r="E96" s="192"/>
      <c r="F96" s="207" t="s">
        <v>198</v>
      </c>
      <c r="G96" s="196" t="s">
        <v>199</v>
      </c>
    </row>
    <row r="97" spans="3:7" ht="30.75">
      <c r="C97" s="213" t="s">
        <v>378</v>
      </c>
      <c r="D97" s="212" t="s">
        <v>379</v>
      </c>
      <c r="E97" s="218" t="s">
        <v>207</v>
      </c>
      <c r="F97" s="208" t="s">
        <v>198</v>
      </c>
      <c r="G97" s="208" t="s">
        <v>208</v>
      </c>
    </row>
    <row r="98" spans="3:7" ht="30.75">
      <c r="C98" s="214" t="s">
        <v>380</v>
      </c>
      <c r="D98" s="215" t="s">
        <v>381</v>
      </c>
      <c r="E98" s="192"/>
      <c r="F98" s="207" t="s">
        <v>198</v>
      </c>
      <c r="G98" s="196" t="s">
        <v>199</v>
      </c>
    </row>
    <row r="99" spans="3:7" ht="30.75">
      <c r="C99" s="214" t="s">
        <v>382</v>
      </c>
      <c r="D99" s="215" t="s">
        <v>383</v>
      </c>
      <c r="E99" s="192"/>
      <c r="F99" s="207" t="s">
        <v>198</v>
      </c>
      <c r="G99" s="196" t="s">
        <v>199</v>
      </c>
    </row>
    <row r="100" spans="3:7" ht="30.75">
      <c r="C100" s="213" t="s">
        <v>384</v>
      </c>
      <c r="D100" s="212" t="s">
        <v>385</v>
      </c>
      <c r="E100" s="218" t="s">
        <v>207</v>
      </c>
      <c r="F100" s="208" t="s">
        <v>198</v>
      </c>
      <c r="G100" s="208" t="s">
        <v>208</v>
      </c>
    </row>
    <row r="101" spans="3:7" ht="30.75">
      <c r="C101" s="214" t="s">
        <v>386</v>
      </c>
      <c r="D101" s="215" t="s">
        <v>387</v>
      </c>
      <c r="E101" s="192"/>
      <c r="F101" s="207" t="s">
        <v>198</v>
      </c>
      <c r="G101" s="196" t="s">
        <v>199</v>
      </c>
    </row>
    <row r="102" spans="3:7" ht="30.75">
      <c r="C102" s="213" t="s">
        <v>388</v>
      </c>
      <c r="D102" s="212" t="s">
        <v>389</v>
      </c>
      <c r="E102" s="218" t="s">
        <v>207</v>
      </c>
      <c r="F102" s="208" t="s">
        <v>198</v>
      </c>
      <c r="G102" s="209" t="s">
        <v>208</v>
      </c>
    </row>
    <row r="103" spans="3:7" ht="30.75">
      <c r="C103" s="214" t="s">
        <v>390</v>
      </c>
      <c r="D103" s="215" t="s">
        <v>391</v>
      </c>
      <c r="E103" s="192"/>
      <c r="F103" s="207" t="s">
        <v>198</v>
      </c>
      <c r="G103" s="196" t="s">
        <v>199</v>
      </c>
    </row>
    <row r="104" spans="3:7" ht="15">
      <c r="C104" s="213" t="s">
        <v>392</v>
      </c>
      <c r="D104" s="212" t="s">
        <v>393</v>
      </c>
      <c r="E104" s="218" t="s">
        <v>207</v>
      </c>
      <c r="F104" s="208" t="s">
        <v>198</v>
      </c>
      <c r="G104" s="209" t="s">
        <v>208</v>
      </c>
    </row>
    <row r="105" spans="3:7" ht="30.75">
      <c r="C105" s="214" t="s">
        <v>394</v>
      </c>
      <c r="D105" s="215" t="s">
        <v>395</v>
      </c>
      <c r="E105" s="192"/>
      <c r="F105" s="207" t="s">
        <v>198</v>
      </c>
      <c r="G105" s="196" t="s">
        <v>199</v>
      </c>
    </row>
    <row r="106" spans="3:7" ht="30.75">
      <c r="C106" s="213" t="s">
        <v>396</v>
      </c>
      <c r="D106" s="212" t="s">
        <v>397</v>
      </c>
      <c r="E106" s="218" t="s">
        <v>207</v>
      </c>
      <c r="F106" s="208" t="s">
        <v>198</v>
      </c>
      <c r="G106" s="209" t="s">
        <v>208</v>
      </c>
    </row>
    <row r="107" spans="3:7" ht="30.75">
      <c r="C107" s="213" t="s">
        <v>398</v>
      </c>
      <c r="D107" s="212" t="s">
        <v>399</v>
      </c>
      <c r="E107" s="218" t="s">
        <v>207</v>
      </c>
      <c r="F107" s="208" t="s">
        <v>198</v>
      </c>
      <c r="G107" s="209" t="s">
        <v>208</v>
      </c>
    </row>
    <row r="108" spans="3:7" ht="30.75">
      <c r="C108" s="214" t="s">
        <v>400</v>
      </c>
      <c r="D108" s="202" t="s">
        <v>401</v>
      </c>
      <c r="E108" s="192"/>
      <c r="F108" s="207" t="s">
        <v>198</v>
      </c>
      <c r="G108" s="196" t="s">
        <v>199</v>
      </c>
    </row>
    <row r="109" spans="3:7" ht="15">
      <c r="C109" s="214" t="s">
        <v>402</v>
      </c>
      <c r="D109" s="215" t="s">
        <v>403</v>
      </c>
      <c r="E109" s="192"/>
      <c r="F109" s="207" t="s">
        <v>198</v>
      </c>
      <c r="G109" s="196" t="s">
        <v>199</v>
      </c>
    </row>
    <row r="110" spans="3:7" ht="15">
      <c r="C110" s="214" t="s">
        <v>404</v>
      </c>
      <c r="D110" s="215" t="s">
        <v>405</v>
      </c>
      <c r="E110" s="192"/>
      <c r="F110" s="207" t="s">
        <v>198</v>
      </c>
      <c r="G110" s="196" t="s">
        <v>199</v>
      </c>
    </row>
    <row r="111" spans="3:7" ht="18.75" customHeight="1">
      <c r="C111" s="213" t="s">
        <v>287</v>
      </c>
      <c r="D111" s="199" t="s">
        <v>288</v>
      </c>
      <c r="E111" s="200" t="s">
        <v>207</v>
      </c>
      <c r="F111" s="200" t="s">
        <v>198</v>
      </c>
      <c r="G111" s="200" t="s">
        <v>208</v>
      </c>
    </row>
    <row r="112" spans="3:7" ht="15">
      <c r="C112" s="214" t="s">
        <v>406</v>
      </c>
      <c r="D112" s="215" t="s">
        <v>407</v>
      </c>
      <c r="E112" s="192"/>
      <c r="F112" s="207" t="s">
        <v>198</v>
      </c>
      <c r="G112" s="196" t="s">
        <v>199</v>
      </c>
    </row>
    <row r="113" spans="3:7" ht="15">
      <c r="C113" s="214" t="s">
        <v>408</v>
      </c>
      <c r="D113" s="215" t="s">
        <v>409</v>
      </c>
      <c r="E113" s="192"/>
      <c r="F113" s="207" t="s">
        <v>198</v>
      </c>
      <c r="G113" s="196" t="s">
        <v>199</v>
      </c>
    </row>
    <row r="114" spans="3:7" ht="15">
      <c r="C114" s="214" t="s">
        <v>410</v>
      </c>
      <c r="D114" s="215" t="s">
        <v>411</v>
      </c>
      <c r="E114" s="192"/>
      <c r="F114" s="207" t="s">
        <v>198</v>
      </c>
      <c r="G114" s="196" t="s">
        <v>199</v>
      </c>
    </row>
    <row r="115" spans="3:7" ht="30.75">
      <c r="C115" s="214" t="s">
        <v>412</v>
      </c>
      <c r="D115" s="215" t="s">
        <v>413</v>
      </c>
      <c r="E115" s="192"/>
      <c r="F115" s="207" t="s">
        <v>198</v>
      </c>
      <c r="G115" s="196" t="s">
        <v>199</v>
      </c>
    </row>
    <row r="116" spans="3:7" ht="15">
      <c r="C116" s="214" t="s">
        <v>414</v>
      </c>
      <c r="D116" s="215" t="s">
        <v>415</v>
      </c>
      <c r="E116" s="192"/>
      <c r="F116" s="207" t="s">
        <v>198</v>
      </c>
      <c r="G116" s="196" t="s">
        <v>199</v>
      </c>
    </row>
    <row r="117" spans="3:7" ht="30.75">
      <c r="C117" s="214" t="s">
        <v>416</v>
      </c>
      <c r="D117" s="215" t="s">
        <v>417</v>
      </c>
      <c r="E117" s="192"/>
      <c r="F117" s="207" t="s">
        <v>198</v>
      </c>
      <c r="G117" s="196" t="s">
        <v>199</v>
      </c>
    </row>
    <row r="118" spans="3:7" ht="30.75">
      <c r="C118" s="214" t="s">
        <v>418</v>
      </c>
      <c r="D118" s="215" t="s">
        <v>419</v>
      </c>
      <c r="E118" s="192"/>
      <c r="F118" s="207" t="s">
        <v>198</v>
      </c>
      <c r="G118" s="196" t="s">
        <v>199</v>
      </c>
    </row>
    <row r="119" spans="3:7" ht="15">
      <c r="C119" s="213" t="s">
        <v>420</v>
      </c>
      <c r="D119" s="212" t="s">
        <v>421</v>
      </c>
      <c r="E119" s="218" t="s">
        <v>207</v>
      </c>
      <c r="F119" s="208" t="s">
        <v>198</v>
      </c>
      <c r="G119" s="209" t="s">
        <v>208</v>
      </c>
    </row>
    <row r="120" spans="3:7" ht="15">
      <c r="C120" s="214" t="s">
        <v>422</v>
      </c>
      <c r="D120" s="215" t="s">
        <v>423</v>
      </c>
      <c r="E120" s="192"/>
      <c r="F120" s="207" t="s">
        <v>198</v>
      </c>
      <c r="G120" s="196" t="s">
        <v>199</v>
      </c>
    </row>
    <row r="121" spans="3:7" ht="15">
      <c r="C121" s="214" t="s">
        <v>424</v>
      </c>
      <c r="D121" s="215" t="s">
        <v>425</v>
      </c>
      <c r="E121" s="192"/>
      <c r="F121" s="207" t="s">
        <v>198</v>
      </c>
      <c r="G121" s="196" t="s">
        <v>199</v>
      </c>
    </row>
    <row r="122" spans="3:7" ht="30.75">
      <c r="C122" s="214" t="s">
        <v>426</v>
      </c>
      <c r="D122" s="215" t="s">
        <v>427</v>
      </c>
      <c r="E122" s="192"/>
      <c r="F122" s="207" t="s">
        <v>198</v>
      </c>
      <c r="G122" s="196" t="s">
        <v>199</v>
      </c>
    </row>
    <row r="123" spans="3:7" ht="15">
      <c r="C123" s="214" t="s">
        <v>428</v>
      </c>
      <c r="D123" s="215" t="s">
        <v>429</v>
      </c>
      <c r="E123" s="192"/>
      <c r="F123" s="207" t="s">
        <v>198</v>
      </c>
      <c r="G123" s="196" t="s">
        <v>199</v>
      </c>
    </row>
    <row r="124" spans="3:7" ht="30.75">
      <c r="C124" s="214" t="s">
        <v>430</v>
      </c>
      <c r="D124" s="215" t="s">
        <v>431</v>
      </c>
      <c r="E124" s="192"/>
      <c r="F124" s="207" t="s">
        <v>198</v>
      </c>
      <c r="G124" s="196" t="s">
        <v>199</v>
      </c>
    </row>
    <row r="125" spans="3:7" ht="30.75">
      <c r="C125" s="213" t="s">
        <v>432</v>
      </c>
      <c r="D125" s="199" t="s">
        <v>433</v>
      </c>
      <c r="E125" s="200" t="s">
        <v>207</v>
      </c>
      <c r="F125" s="200" t="s">
        <v>198</v>
      </c>
      <c r="G125" s="200" t="s">
        <v>208</v>
      </c>
    </row>
    <row r="126" spans="3:7" ht="30.75">
      <c r="C126" s="213" t="s">
        <v>434</v>
      </c>
      <c r="D126" s="199" t="s">
        <v>435</v>
      </c>
      <c r="E126" s="200" t="s">
        <v>207</v>
      </c>
      <c r="F126" s="200" t="s">
        <v>198</v>
      </c>
      <c r="G126" s="200" t="s">
        <v>208</v>
      </c>
    </row>
    <row r="127" spans="3:7" ht="30.75">
      <c r="C127" s="213" t="s">
        <v>436</v>
      </c>
      <c r="D127" s="199" t="s">
        <v>437</v>
      </c>
      <c r="E127" s="200" t="s">
        <v>207</v>
      </c>
      <c r="F127" s="200" t="s">
        <v>198</v>
      </c>
      <c r="G127" s="200" t="s">
        <v>208</v>
      </c>
    </row>
    <row r="128" spans="3:7" ht="15">
      <c r="C128" s="214" t="s">
        <v>438</v>
      </c>
      <c r="D128" s="215" t="s">
        <v>439</v>
      </c>
      <c r="E128" s="192"/>
      <c r="F128" s="207" t="s">
        <v>198</v>
      </c>
      <c r="G128" s="196" t="s">
        <v>199</v>
      </c>
    </row>
    <row r="129" spans="3:7" ht="30.75">
      <c r="C129" s="213" t="s">
        <v>440</v>
      </c>
      <c r="D129" s="199" t="s">
        <v>441</v>
      </c>
      <c r="E129" s="200" t="s">
        <v>207</v>
      </c>
      <c r="F129" s="200" t="s">
        <v>198</v>
      </c>
      <c r="G129" s="200" t="s">
        <v>208</v>
      </c>
    </row>
    <row r="130" spans="3:7" ht="15">
      <c r="C130" s="214" t="s">
        <v>442</v>
      </c>
      <c r="D130" s="215" t="s">
        <v>443</v>
      </c>
      <c r="E130" s="192"/>
      <c r="F130" s="207" t="s">
        <v>198</v>
      </c>
      <c r="G130" s="196" t="s">
        <v>199</v>
      </c>
    </row>
    <row r="131" spans="3:7" ht="15">
      <c r="C131" s="213" t="s">
        <v>444</v>
      </c>
      <c r="D131" s="199" t="s">
        <v>445</v>
      </c>
      <c r="E131" s="200" t="s">
        <v>207</v>
      </c>
      <c r="F131" s="200" t="s">
        <v>198</v>
      </c>
      <c r="G131" s="200" t="s">
        <v>208</v>
      </c>
    </row>
    <row r="132" spans="3:7" ht="15">
      <c r="C132" s="213" t="s">
        <v>446</v>
      </c>
      <c r="D132" s="199" t="s">
        <v>447</v>
      </c>
      <c r="E132" s="200" t="s">
        <v>207</v>
      </c>
      <c r="F132" s="200" t="s">
        <v>198</v>
      </c>
      <c r="G132" s="200" t="s">
        <v>208</v>
      </c>
    </row>
    <row r="133" spans="3:7" ht="30.75">
      <c r="C133" s="213" t="s">
        <v>448</v>
      </c>
      <c r="D133" s="199" t="s">
        <v>449</v>
      </c>
      <c r="E133" s="200" t="s">
        <v>207</v>
      </c>
      <c r="F133" s="200" t="s">
        <v>198</v>
      </c>
      <c r="G133" s="200" t="s">
        <v>208</v>
      </c>
    </row>
    <row r="134" spans="3:7" ht="30.75">
      <c r="C134" s="213" t="s">
        <v>450</v>
      </c>
      <c r="D134" s="199" t="s">
        <v>451</v>
      </c>
      <c r="E134" s="200" t="s">
        <v>207</v>
      </c>
      <c r="F134" s="200" t="s">
        <v>198</v>
      </c>
      <c r="G134" s="200" t="s">
        <v>208</v>
      </c>
    </row>
    <row r="135" spans="3:7" ht="30.75">
      <c r="C135" s="214" t="s">
        <v>452</v>
      </c>
      <c r="D135" s="215" t="s">
        <v>453</v>
      </c>
      <c r="E135" s="192"/>
      <c r="F135" s="207" t="s">
        <v>198</v>
      </c>
      <c r="G135" s="196" t="s">
        <v>199</v>
      </c>
    </row>
    <row r="136" spans="3:7" ht="62.25">
      <c r="C136" s="214" t="s">
        <v>454</v>
      </c>
      <c r="D136" s="215" t="s">
        <v>455</v>
      </c>
      <c r="E136" s="192"/>
      <c r="F136" s="207" t="s">
        <v>198</v>
      </c>
      <c r="G136" s="196" t="s">
        <v>199</v>
      </c>
    </row>
    <row r="137" spans="3:7" ht="76.5" customHeight="1">
      <c r="C137" s="214" t="s">
        <v>456</v>
      </c>
      <c r="D137" s="215" t="s">
        <v>457</v>
      </c>
      <c r="E137" s="192"/>
      <c r="F137" s="207" t="s">
        <v>198</v>
      </c>
      <c r="G137" s="196" t="s">
        <v>199</v>
      </c>
    </row>
    <row r="138" spans="3:7" ht="30.75">
      <c r="C138" s="213" t="s">
        <v>458</v>
      </c>
      <c r="D138" s="199" t="s">
        <v>459</v>
      </c>
      <c r="E138" s="200" t="s">
        <v>207</v>
      </c>
      <c r="F138" s="200" t="s">
        <v>198</v>
      </c>
      <c r="G138" s="200" t="s">
        <v>208</v>
      </c>
    </row>
    <row r="139" spans="3:7" ht="30.75">
      <c r="C139" s="214" t="s">
        <v>460</v>
      </c>
      <c r="D139" s="215" t="s">
        <v>461</v>
      </c>
      <c r="E139" s="192"/>
      <c r="F139" s="207" t="s">
        <v>198</v>
      </c>
      <c r="G139" s="196" t="s">
        <v>199</v>
      </c>
    </row>
    <row r="140" spans="3:7" ht="15">
      <c r="C140" s="214" t="s">
        <v>462</v>
      </c>
      <c r="D140" s="215" t="s">
        <v>463</v>
      </c>
      <c r="E140" s="192"/>
      <c r="F140" s="207" t="s">
        <v>198</v>
      </c>
      <c r="G140" s="196" t="s">
        <v>199</v>
      </c>
    </row>
    <row r="141" spans="3:7" ht="15">
      <c r="C141" s="213" t="s">
        <v>464</v>
      </c>
      <c r="D141" s="199" t="s">
        <v>465</v>
      </c>
      <c r="E141" s="200" t="s">
        <v>207</v>
      </c>
      <c r="F141" s="200" t="s">
        <v>198</v>
      </c>
      <c r="G141" s="200" t="s">
        <v>208</v>
      </c>
    </row>
    <row r="142" spans="3:7" ht="46.5">
      <c r="C142" s="214" t="s">
        <v>466</v>
      </c>
      <c r="D142" s="215" t="s">
        <v>467</v>
      </c>
      <c r="E142" s="192"/>
      <c r="F142" s="207" t="s">
        <v>198</v>
      </c>
      <c r="G142" s="196" t="s">
        <v>199</v>
      </c>
    </row>
    <row r="143" spans="3:7" ht="30.75">
      <c r="C143" s="213" t="s">
        <v>468</v>
      </c>
      <c r="D143" s="199" t="s">
        <v>469</v>
      </c>
      <c r="E143" s="200" t="s">
        <v>207</v>
      </c>
      <c r="F143" s="200" t="s">
        <v>198</v>
      </c>
      <c r="G143" s="200" t="s">
        <v>208</v>
      </c>
    </row>
    <row r="144" spans="3:7" ht="30.75">
      <c r="C144" s="213" t="s">
        <v>470</v>
      </c>
      <c r="D144" s="199" t="s">
        <v>471</v>
      </c>
      <c r="E144" s="200" t="s">
        <v>207</v>
      </c>
      <c r="F144" s="200" t="s">
        <v>198</v>
      </c>
      <c r="G144" s="200" t="s">
        <v>208</v>
      </c>
    </row>
    <row r="145" spans="3:7" ht="24.75" customHeight="1">
      <c r="C145" s="214" t="s">
        <v>472</v>
      </c>
      <c r="D145" s="215" t="s">
        <v>473</v>
      </c>
      <c r="E145" s="192"/>
      <c r="F145" s="207" t="s">
        <v>198</v>
      </c>
      <c r="G145" s="196" t="s">
        <v>199</v>
      </c>
    </row>
    <row r="146" spans="3:7" ht="30.75">
      <c r="C146" s="214" t="s">
        <v>474</v>
      </c>
      <c r="D146" s="215" t="s">
        <v>475</v>
      </c>
      <c r="E146" s="192"/>
      <c r="F146" s="207" t="s">
        <v>198</v>
      </c>
      <c r="G146" s="196" t="s">
        <v>199</v>
      </c>
    </row>
    <row r="147" spans="3:7" ht="15">
      <c r="C147" s="219" t="s">
        <v>476</v>
      </c>
      <c r="D147" s="220" t="s">
        <v>477</v>
      </c>
      <c r="E147" s="200" t="s">
        <v>207</v>
      </c>
      <c r="F147" s="200" t="s">
        <v>198</v>
      </c>
      <c r="G147" s="200" t="s">
        <v>208</v>
      </c>
    </row>
    <row r="148" spans="3:7" ht="30.75">
      <c r="C148" s="219" t="s">
        <v>478</v>
      </c>
      <c r="D148" s="220" t="s">
        <v>479</v>
      </c>
      <c r="E148" s="221" t="s">
        <v>207</v>
      </c>
      <c r="F148" s="200" t="s">
        <v>198</v>
      </c>
      <c r="G148" s="200" t="s">
        <v>208</v>
      </c>
    </row>
    <row r="149" spans="3:7" ht="30.75">
      <c r="C149" s="219" t="s">
        <v>478</v>
      </c>
      <c r="D149" s="204" t="s">
        <v>480</v>
      </c>
      <c r="E149" s="221" t="s">
        <v>207</v>
      </c>
      <c r="F149" s="200" t="s">
        <v>198</v>
      </c>
      <c r="G149" s="200" t="s">
        <v>208</v>
      </c>
    </row>
    <row r="150" spans="3:7" ht="15">
      <c r="C150" s="214" t="s">
        <v>481</v>
      </c>
      <c r="D150" s="215" t="s">
        <v>482</v>
      </c>
      <c r="E150" s="192"/>
      <c r="F150" s="207" t="s">
        <v>198</v>
      </c>
      <c r="G150" s="196" t="s">
        <v>199</v>
      </c>
    </row>
    <row r="151" spans="3:7" ht="30.75">
      <c r="C151" s="214" t="s">
        <v>483</v>
      </c>
      <c r="D151" s="215" t="s">
        <v>484</v>
      </c>
      <c r="E151" s="192"/>
      <c r="F151" s="207" t="s">
        <v>198</v>
      </c>
      <c r="G151" s="196" t="s">
        <v>199</v>
      </c>
    </row>
    <row r="152" spans="3:7" ht="15">
      <c r="C152" s="219" t="s">
        <v>485</v>
      </c>
      <c r="D152" s="220" t="s">
        <v>486</v>
      </c>
      <c r="E152" s="221" t="s">
        <v>207</v>
      </c>
      <c r="F152" s="200" t="s">
        <v>198</v>
      </c>
      <c r="G152" s="200" t="s">
        <v>208</v>
      </c>
    </row>
    <row r="153" spans="3:7" ht="30.75">
      <c r="C153" s="219" t="s">
        <v>487</v>
      </c>
      <c r="D153" s="220" t="s">
        <v>488</v>
      </c>
      <c r="E153" s="221" t="s">
        <v>207</v>
      </c>
      <c r="F153" s="200" t="s">
        <v>198</v>
      </c>
      <c r="G153" s="200" t="s">
        <v>208</v>
      </c>
    </row>
    <row r="154" spans="3:7" ht="15">
      <c r="C154" s="219" t="s">
        <v>489</v>
      </c>
      <c r="D154" s="220" t="s">
        <v>490</v>
      </c>
      <c r="E154" s="221" t="s">
        <v>207</v>
      </c>
      <c r="F154" s="200" t="s">
        <v>198</v>
      </c>
      <c r="G154" s="200" t="s">
        <v>208</v>
      </c>
    </row>
    <row r="155" spans="3:7" ht="30.75">
      <c r="C155" s="214" t="s">
        <v>491</v>
      </c>
      <c r="D155" s="215" t="s">
        <v>492</v>
      </c>
      <c r="E155" s="192"/>
      <c r="F155" s="207" t="s">
        <v>198</v>
      </c>
      <c r="G155" s="196" t="s">
        <v>199</v>
      </c>
    </row>
    <row r="156" spans="3:7" ht="15">
      <c r="C156" s="214" t="s">
        <v>493</v>
      </c>
      <c r="D156" s="215" t="s">
        <v>494</v>
      </c>
      <c r="E156" s="192"/>
      <c r="F156" s="207" t="s">
        <v>198</v>
      </c>
      <c r="G156" s="196" t="s">
        <v>199</v>
      </c>
    </row>
    <row r="157" spans="3:7" ht="30.75">
      <c r="C157" s="214" t="s">
        <v>495</v>
      </c>
      <c r="D157" s="215" t="s">
        <v>496</v>
      </c>
      <c r="E157" s="192"/>
      <c r="F157" s="207" t="s">
        <v>198</v>
      </c>
      <c r="G157" s="196" t="s">
        <v>199</v>
      </c>
    </row>
    <row r="158" spans="3:7" ht="15">
      <c r="C158" s="214" t="s">
        <v>497</v>
      </c>
      <c r="D158" s="215" t="s">
        <v>498</v>
      </c>
      <c r="E158" s="192"/>
      <c r="F158" s="207" t="s">
        <v>198</v>
      </c>
      <c r="G158" s="196" t="s">
        <v>199</v>
      </c>
    </row>
    <row r="159" spans="3:7" ht="15">
      <c r="C159" s="214" t="s">
        <v>497</v>
      </c>
      <c r="D159" s="215" t="s">
        <v>499</v>
      </c>
      <c r="E159" s="192"/>
      <c r="F159" s="207" t="s">
        <v>198</v>
      </c>
      <c r="G159" s="196" t="s">
        <v>199</v>
      </c>
    </row>
    <row r="160" spans="3:7" ht="15">
      <c r="C160" s="219" t="s">
        <v>500</v>
      </c>
      <c r="D160" s="220" t="s">
        <v>501</v>
      </c>
      <c r="E160" s="221" t="s">
        <v>207</v>
      </c>
      <c r="F160" s="200" t="s">
        <v>198</v>
      </c>
      <c r="G160" s="200" t="s">
        <v>208</v>
      </c>
    </row>
    <row r="161" spans="3:7" ht="15">
      <c r="C161" s="219" t="s">
        <v>502</v>
      </c>
      <c r="D161" s="220" t="s">
        <v>503</v>
      </c>
      <c r="E161" s="221" t="s">
        <v>207</v>
      </c>
      <c r="F161" s="200" t="s">
        <v>198</v>
      </c>
      <c r="G161" s="200" t="s">
        <v>208</v>
      </c>
    </row>
    <row r="162" spans="3:7" ht="30.75">
      <c r="C162" s="219" t="s">
        <v>504</v>
      </c>
      <c r="D162" s="220" t="s">
        <v>505</v>
      </c>
      <c r="E162" s="221" t="s">
        <v>207</v>
      </c>
      <c r="F162" s="200" t="s">
        <v>198</v>
      </c>
      <c r="G162" s="200" t="s">
        <v>208</v>
      </c>
    </row>
    <row r="163" spans="3:7" ht="30.75">
      <c r="C163" s="214" t="s">
        <v>506</v>
      </c>
      <c r="D163" s="215" t="s">
        <v>507</v>
      </c>
      <c r="E163" s="192"/>
      <c r="F163" s="207" t="s">
        <v>198</v>
      </c>
      <c r="G163" s="196" t="s">
        <v>199</v>
      </c>
    </row>
    <row r="164" spans="3:7" ht="15">
      <c r="C164" s="213" t="s">
        <v>508</v>
      </c>
      <c r="D164" s="212" t="s">
        <v>509</v>
      </c>
      <c r="E164" s="221" t="s">
        <v>207</v>
      </c>
      <c r="F164" s="200" t="s">
        <v>198</v>
      </c>
      <c r="G164" s="200" t="s">
        <v>208</v>
      </c>
    </row>
    <row r="165" spans="3:7" ht="15">
      <c r="C165" s="219" t="s">
        <v>510</v>
      </c>
      <c r="D165" s="220" t="s">
        <v>511</v>
      </c>
      <c r="E165" s="221" t="s">
        <v>207</v>
      </c>
      <c r="F165" s="200" t="s">
        <v>198</v>
      </c>
      <c r="G165" s="200" t="s">
        <v>208</v>
      </c>
    </row>
    <row r="166" spans="3:7" ht="15">
      <c r="C166" s="214" t="s">
        <v>512</v>
      </c>
      <c r="D166" s="215" t="s">
        <v>513</v>
      </c>
      <c r="E166" s="192"/>
      <c r="F166" s="207" t="s">
        <v>198</v>
      </c>
      <c r="G166" s="196" t="s">
        <v>199</v>
      </c>
    </row>
    <row r="167" spans="3:7" ht="15">
      <c r="C167" s="219" t="s">
        <v>512</v>
      </c>
      <c r="D167" s="220" t="s">
        <v>514</v>
      </c>
      <c r="E167" s="221" t="s">
        <v>207</v>
      </c>
      <c r="F167" s="200" t="s">
        <v>198</v>
      </c>
      <c r="G167" s="200" t="s">
        <v>208</v>
      </c>
    </row>
    <row r="168" spans="3:7" ht="15">
      <c r="C168" s="219" t="s">
        <v>515</v>
      </c>
      <c r="D168" s="220" t="s">
        <v>516</v>
      </c>
      <c r="E168" s="221" t="s">
        <v>207</v>
      </c>
      <c r="F168" s="200" t="s">
        <v>198</v>
      </c>
      <c r="G168" s="200" t="s">
        <v>208</v>
      </c>
    </row>
    <row r="169" spans="3:7" ht="15">
      <c r="C169" s="214" t="s">
        <v>515</v>
      </c>
      <c r="D169" s="215" t="s">
        <v>517</v>
      </c>
      <c r="E169" s="192"/>
      <c r="F169" s="207" t="s">
        <v>198</v>
      </c>
      <c r="G169" s="196" t="s">
        <v>199</v>
      </c>
    </row>
    <row r="170" spans="3:7" ht="30.75">
      <c r="C170" s="214" t="s">
        <v>518</v>
      </c>
      <c r="D170" s="215" t="s">
        <v>519</v>
      </c>
      <c r="E170" s="192"/>
      <c r="F170" s="207" t="s">
        <v>198</v>
      </c>
      <c r="G170" s="196" t="s">
        <v>199</v>
      </c>
    </row>
    <row r="171" spans="3:7" ht="15">
      <c r="C171" s="219" t="s">
        <v>520</v>
      </c>
      <c r="D171" s="220" t="s">
        <v>521</v>
      </c>
      <c r="E171" s="221" t="s">
        <v>207</v>
      </c>
      <c r="F171" s="200" t="s">
        <v>198</v>
      </c>
      <c r="G171" s="200" t="s">
        <v>208</v>
      </c>
    </row>
    <row r="172" spans="3:7" ht="15">
      <c r="C172" s="219" t="s">
        <v>522</v>
      </c>
      <c r="D172" s="220" t="s">
        <v>523</v>
      </c>
      <c r="E172" s="221" t="s">
        <v>207</v>
      </c>
      <c r="F172" s="200" t="s">
        <v>198</v>
      </c>
      <c r="G172" s="200" t="s">
        <v>208</v>
      </c>
    </row>
    <row r="173" spans="3:7" ht="30.75">
      <c r="C173" s="219" t="s">
        <v>524</v>
      </c>
      <c r="D173" s="220" t="s">
        <v>525</v>
      </c>
      <c r="E173" s="221" t="s">
        <v>207</v>
      </c>
      <c r="F173" s="200" t="s">
        <v>198</v>
      </c>
      <c r="G173" s="200" t="s">
        <v>208</v>
      </c>
    </row>
    <row r="174" spans="3:7" ht="30.75">
      <c r="C174" s="214" t="s">
        <v>526</v>
      </c>
      <c r="D174" s="215" t="s">
        <v>527</v>
      </c>
      <c r="E174" s="192"/>
      <c r="F174" s="207" t="s">
        <v>198</v>
      </c>
      <c r="G174" s="196" t="s">
        <v>199</v>
      </c>
    </row>
    <row r="175" spans="3:7" ht="15">
      <c r="C175" s="219" t="s">
        <v>528</v>
      </c>
      <c r="D175" s="220" t="s">
        <v>529</v>
      </c>
      <c r="E175" s="221" t="s">
        <v>207</v>
      </c>
      <c r="F175" s="200" t="s">
        <v>198</v>
      </c>
      <c r="G175" s="200" t="s">
        <v>208</v>
      </c>
    </row>
    <row r="176" spans="3:7" ht="30.75">
      <c r="C176" s="214" t="s">
        <v>530</v>
      </c>
      <c r="D176" s="215" t="s">
        <v>531</v>
      </c>
      <c r="E176" s="192"/>
      <c r="F176" s="207" t="s">
        <v>198</v>
      </c>
      <c r="G176" s="196" t="s">
        <v>199</v>
      </c>
    </row>
    <row r="177" spans="3:7" ht="15">
      <c r="C177" s="214" t="s">
        <v>532</v>
      </c>
      <c r="D177" s="215" t="s">
        <v>533</v>
      </c>
      <c r="E177" s="192"/>
      <c r="F177" s="207" t="s">
        <v>198</v>
      </c>
      <c r="G177" s="196" t="s">
        <v>199</v>
      </c>
    </row>
    <row r="178" spans="3:7" ht="30.75">
      <c r="C178" s="214" t="s">
        <v>534</v>
      </c>
      <c r="D178" s="215" t="s">
        <v>535</v>
      </c>
      <c r="E178" s="192"/>
      <c r="F178" s="207" t="s">
        <v>198</v>
      </c>
      <c r="G178" s="196" t="s">
        <v>199</v>
      </c>
    </row>
    <row r="179" spans="3:7" ht="15">
      <c r="C179" s="219" t="s">
        <v>536</v>
      </c>
      <c r="D179" s="219" t="s">
        <v>536</v>
      </c>
      <c r="E179" s="221" t="s">
        <v>207</v>
      </c>
      <c r="F179" s="200" t="s">
        <v>198</v>
      </c>
      <c r="G179" s="200" t="s">
        <v>208</v>
      </c>
    </row>
    <row r="180" spans="3:7" ht="15">
      <c r="C180" s="214" t="s">
        <v>537</v>
      </c>
      <c r="D180" s="215" t="s">
        <v>538</v>
      </c>
      <c r="E180" s="192"/>
      <c r="F180" s="207" t="s">
        <v>198</v>
      </c>
      <c r="G180" s="196" t="s">
        <v>199</v>
      </c>
    </row>
    <row r="181" spans="3:7" ht="15">
      <c r="C181" s="219" t="s">
        <v>539</v>
      </c>
      <c r="D181" s="219" t="s">
        <v>540</v>
      </c>
      <c r="E181" s="221" t="s">
        <v>207</v>
      </c>
      <c r="F181" s="200" t="s">
        <v>198</v>
      </c>
      <c r="G181" s="200" t="s">
        <v>208</v>
      </c>
    </row>
    <row r="182" spans="3:7" ht="30.75">
      <c r="C182" s="219" t="s">
        <v>541</v>
      </c>
      <c r="D182" s="219" t="s">
        <v>542</v>
      </c>
      <c r="E182" s="221" t="s">
        <v>207</v>
      </c>
      <c r="F182" s="200" t="s">
        <v>198</v>
      </c>
      <c r="G182" s="200" t="s">
        <v>208</v>
      </c>
    </row>
    <row r="183" spans="3:7" ht="15">
      <c r="C183" s="219" t="s">
        <v>543</v>
      </c>
      <c r="D183" s="219" t="s">
        <v>544</v>
      </c>
      <c r="E183" s="221" t="s">
        <v>207</v>
      </c>
      <c r="F183" s="200" t="s">
        <v>198</v>
      </c>
      <c r="G183" s="200" t="s">
        <v>208</v>
      </c>
    </row>
    <row r="184" spans="3:7" ht="15">
      <c r="C184" s="219" t="s">
        <v>545</v>
      </c>
      <c r="D184" s="219" t="s">
        <v>546</v>
      </c>
      <c r="E184" s="221" t="s">
        <v>207</v>
      </c>
      <c r="F184" s="200" t="s">
        <v>198</v>
      </c>
      <c r="G184" s="200" t="s">
        <v>208</v>
      </c>
    </row>
    <row r="185" spans="3:7" ht="15">
      <c r="C185" s="214" t="s">
        <v>547</v>
      </c>
      <c r="D185" s="215" t="s">
        <v>548</v>
      </c>
      <c r="E185" s="192"/>
      <c r="F185" s="207" t="s">
        <v>198</v>
      </c>
      <c r="G185" s="196" t="s">
        <v>199</v>
      </c>
    </row>
    <row r="186" spans="3:7" ht="30.75">
      <c r="C186" s="214" t="s">
        <v>549</v>
      </c>
      <c r="D186" s="215" t="s">
        <v>550</v>
      </c>
      <c r="E186" s="192"/>
      <c r="F186" s="207" t="s">
        <v>198</v>
      </c>
      <c r="G186" s="196" t="s">
        <v>199</v>
      </c>
    </row>
    <row r="187" spans="3:7" ht="15">
      <c r="C187" s="219" t="s">
        <v>551</v>
      </c>
      <c r="D187" s="219" t="s">
        <v>552</v>
      </c>
      <c r="E187" s="221" t="s">
        <v>207</v>
      </c>
      <c r="F187" s="200" t="s">
        <v>198</v>
      </c>
      <c r="G187" s="200" t="s">
        <v>208</v>
      </c>
    </row>
    <row r="188" spans="3:7" ht="30.75">
      <c r="C188" s="219" t="s">
        <v>553</v>
      </c>
      <c r="D188" s="219" t="s">
        <v>554</v>
      </c>
      <c r="E188" s="221" t="s">
        <v>207</v>
      </c>
      <c r="F188" s="200" t="s">
        <v>198</v>
      </c>
      <c r="G188" s="200" t="s">
        <v>208</v>
      </c>
    </row>
    <row r="189" spans="3:7" ht="30.75">
      <c r="C189" s="219" t="s">
        <v>555</v>
      </c>
      <c r="D189" s="219" t="s">
        <v>556</v>
      </c>
      <c r="E189" s="221" t="s">
        <v>207</v>
      </c>
      <c r="F189" s="200" t="s">
        <v>198</v>
      </c>
      <c r="G189" s="200" t="s">
        <v>208</v>
      </c>
    </row>
    <row r="190" spans="3:7" ht="30.75">
      <c r="C190" s="219" t="s">
        <v>557</v>
      </c>
      <c r="D190" s="219" t="s">
        <v>558</v>
      </c>
      <c r="E190" s="221" t="s">
        <v>207</v>
      </c>
      <c r="F190" s="200" t="s">
        <v>198</v>
      </c>
      <c r="G190" s="200" t="s">
        <v>208</v>
      </c>
    </row>
    <row r="191" spans="3:7" ht="15">
      <c r="C191" s="219" t="s">
        <v>559</v>
      </c>
      <c r="D191" s="219" t="s">
        <v>560</v>
      </c>
      <c r="E191" s="221" t="s">
        <v>207</v>
      </c>
      <c r="F191" s="200" t="s">
        <v>198</v>
      </c>
      <c r="G191" s="200" t="s">
        <v>208</v>
      </c>
    </row>
    <row r="192" spans="3:7" ht="15">
      <c r="C192" s="214" t="s">
        <v>561</v>
      </c>
      <c r="D192" s="215" t="s">
        <v>562</v>
      </c>
      <c r="E192" s="192"/>
      <c r="F192" s="207" t="s">
        <v>198</v>
      </c>
      <c r="G192" s="196" t="s">
        <v>199</v>
      </c>
    </row>
    <row r="193" spans="3:7" ht="30.75">
      <c r="C193" s="214" t="s">
        <v>563</v>
      </c>
      <c r="D193" s="215" t="s">
        <v>564</v>
      </c>
      <c r="E193" s="192"/>
      <c r="F193" s="207" t="s">
        <v>198</v>
      </c>
      <c r="G193" s="196" t="s">
        <v>199</v>
      </c>
    </row>
    <row r="194" spans="3:7" ht="15">
      <c r="C194" s="214" t="s">
        <v>565</v>
      </c>
      <c r="D194" s="215" t="s">
        <v>566</v>
      </c>
      <c r="E194" s="192"/>
      <c r="F194" s="207" t="s">
        <v>198</v>
      </c>
      <c r="G194" s="196" t="s">
        <v>199</v>
      </c>
    </row>
    <row r="195" spans="3:7" ht="30.75">
      <c r="C195" s="219" t="s">
        <v>567</v>
      </c>
      <c r="D195" s="219" t="s">
        <v>568</v>
      </c>
      <c r="E195" s="221" t="s">
        <v>207</v>
      </c>
      <c r="F195" s="200" t="s">
        <v>198</v>
      </c>
      <c r="G195" s="200" t="s">
        <v>208</v>
      </c>
    </row>
    <row r="196" spans="3:7" ht="30.75">
      <c r="C196" s="219" t="s">
        <v>569</v>
      </c>
      <c r="D196" s="219" t="s">
        <v>570</v>
      </c>
      <c r="E196" s="221" t="s">
        <v>207</v>
      </c>
      <c r="F196" s="200" t="s">
        <v>198</v>
      </c>
      <c r="G196" s="200" t="s">
        <v>208</v>
      </c>
    </row>
    <row r="197" spans="3:7" ht="15">
      <c r="C197" s="219" t="s">
        <v>571</v>
      </c>
      <c r="D197" s="219" t="s">
        <v>572</v>
      </c>
      <c r="E197" s="221" t="s">
        <v>207</v>
      </c>
      <c r="F197" s="200" t="s">
        <v>198</v>
      </c>
      <c r="G197" s="200" t="s">
        <v>208</v>
      </c>
    </row>
    <row r="198" spans="3:7" ht="30.75">
      <c r="C198" s="219" t="s">
        <v>573</v>
      </c>
      <c r="D198" s="219" t="s">
        <v>574</v>
      </c>
      <c r="E198" s="221" t="s">
        <v>207</v>
      </c>
      <c r="F198" s="200" t="s">
        <v>198</v>
      </c>
      <c r="G198" s="200" t="s">
        <v>208</v>
      </c>
    </row>
    <row r="199" spans="3:7" ht="15">
      <c r="C199" s="214" t="s">
        <v>575</v>
      </c>
      <c r="D199" s="215" t="s">
        <v>576</v>
      </c>
      <c r="E199" s="192"/>
      <c r="F199" s="207" t="s">
        <v>198</v>
      </c>
      <c r="G199" s="196" t="s">
        <v>199</v>
      </c>
    </row>
    <row r="200" spans="3:7" ht="15">
      <c r="C200" s="219" t="s">
        <v>577</v>
      </c>
      <c r="D200" s="219" t="s">
        <v>572</v>
      </c>
      <c r="E200" s="221" t="s">
        <v>207</v>
      </c>
      <c r="F200" s="200" t="s">
        <v>198</v>
      </c>
      <c r="G200" s="200" t="s">
        <v>208</v>
      </c>
    </row>
    <row r="201" spans="3:7" ht="15">
      <c r="C201" s="219" t="s">
        <v>578</v>
      </c>
      <c r="D201" s="219" t="s">
        <v>579</v>
      </c>
      <c r="E201" s="221" t="s">
        <v>207</v>
      </c>
      <c r="F201" s="200" t="s">
        <v>198</v>
      </c>
      <c r="G201" s="200" t="s">
        <v>208</v>
      </c>
    </row>
    <row r="202" spans="3:7" ht="15">
      <c r="C202" s="219" t="s">
        <v>580</v>
      </c>
      <c r="D202" s="219" t="s">
        <v>581</v>
      </c>
      <c r="E202" s="221" t="s">
        <v>207</v>
      </c>
      <c r="F202" s="200" t="s">
        <v>198</v>
      </c>
      <c r="G202" s="200" t="s">
        <v>208</v>
      </c>
    </row>
    <row r="203" spans="3:7" ht="15">
      <c r="C203" s="219" t="s">
        <v>582</v>
      </c>
      <c r="D203" s="219" t="s">
        <v>583</v>
      </c>
      <c r="E203" s="221" t="s">
        <v>207</v>
      </c>
      <c r="F203" s="200" t="s">
        <v>198</v>
      </c>
      <c r="G203" s="200" t="s">
        <v>208</v>
      </c>
    </row>
    <row r="204" spans="3:7" ht="46.5">
      <c r="C204" s="214" t="s">
        <v>584</v>
      </c>
      <c r="D204" s="215" t="s">
        <v>585</v>
      </c>
      <c r="E204" s="192"/>
      <c r="F204" s="207" t="s">
        <v>198</v>
      </c>
      <c r="G204" s="196" t="s">
        <v>199</v>
      </c>
    </row>
    <row r="205" spans="3:7" ht="15">
      <c r="C205" s="219" t="s">
        <v>586</v>
      </c>
      <c r="D205" s="219" t="s">
        <v>587</v>
      </c>
      <c r="E205" s="221" t="s">
        <v>207</v>
      </c>
      <c r="F205" s="200" t="s">
        <v>198</v>
      </c>
      <c r="G205" s="200" t="s">
        <v>208</v>
      </c>
    </row>
    <row r="206" spans="3:7" ht="30.75">
      <c r="C206" s="219" t="s">
        <v>588</v>
      </c>
      <c r="D206" s="219" t="s">
        <v>589</v>
      </c>
      <c r="E206" s="221" t="s">
        <v>207</v>
      </c>
      <c r="F206" s="200" t="s">
        <v>198</v>
      </c>
      <c r="G206" s="200" t="s">
        <v>208</v>
      </c>
    </row>
    <row r="207" spans="3:7" ht="30.75">
      <c r="C207" s="219" t="s">
        <v>590</v>
      </c>
      <c r="D207" s="219" t="s">
        <v>591</v>
      </c>
      <c r="E207" s="221" t="s">
        <v>207</v>
      </c>
      <c r="F207" s="200" t="s">
        <v>198</v>
      </c>
      <c r="G207" s="200" t="s">
        <v>208</v>
      </c>
    </row>
    <row r="208" spans="3:7" ht="30.75">
      <c r="C208" s="219" t="s">
        <v>592</v>
      </c>
      <c r="D208" s="219" t="s">
        <v>593</v>
      </c>
      <c r="E208" s="221" t="s">
        <v>207</v>
      </c>
      <c r="F208" s="200" t="s">
        <v>198</v>
      </c>
      <c r="G208" s="200" t="s">
        <v>208</v>
      </c>
    </row>
    <row r="209" spans="3:7" ht="15">
      <c r="C209" s="219" t="s">
        <v>594</v>
      </c>
      <c r="D209" s="219" t="s">
        <v>595</v>
      </c>
      <c r="E209" s="221" t="s">
        <v>207</v>
      </c>
      <c r="F209" s="200" t="s">
        <v>198</v>
      </c>
      <c r="G209" s="200" t="s">
        <v>208</v>
      </c>
    </row>
    <row r="210" spans="3:7" ht="15">
      <c r="C210" s="219" t="s">
        <v>596</v>
      </c>
      <c r="D210" s="219" t="s">
        <v>597</v>
      </c>
      <c r="E210" s="221" t="s">
        <v>207</v>
      </c>
      <c r="F210" s="200" t="s">
        <v>198</v>
      </c>
      <c r="G210" s="200" t="s">
        <v>208</v>
      </c>
    </row>
    <row r="211" spans="3:7" ht="46.5">
      <c r="C211" s="219" t="s">
        <v>598</v>
      </c>
      <c r="D211" s="219" t="s">
        <v>599</v>
      </c>
      <c r="E211" s="221" t="s">
        <v>207</v>
      </c>
      <c r="F211" s="200" t="s">
        <v>198</v>
      </c>
      <c r="G211" s="200" t="s">
        <v>208</v>
      </c>
    </row>
    <row r="212" spans="3:7" ht="30.75">
      <c r="C212" s="214" t="s">
        <v>600</v>
      </c>
      <c r="D212" s="215" t="s">
        <v>601</v>
      </c>
      <c r="E212" s="192"/>
      <c r="F212" s="207" t="s">
        <v>198</v>
      </c>
      <c r="G212" s="196" t="s">
        <v>199</v>
      </c>
    </row>
    <row r="213" spans="3:7" ht="15">
      <c r="C213" s="219" t="s">
        <v>602</v>
      </c>
      <c r="D213" s="219" t="s">
        <v>603</v>
      </c>
      <c r="E213" s="221" t="s">
        <v>207</v>
      </c>
      <c r="F213" s="200" t="s">
        <v>198</v>
      </c>
      <c r="G213" s="200" t="s">
        <v>208</v>
      </c>
    </row>
    <row r="214" spans="3:7" ht="15">
      <c r="C214" s="219" t="s">
        <v>604</v>
      </c>
      <c r="D214" s="219" t="s">
        <v>605</v>
      </c>
      <c r="E214" s="221" t="s">
        <v>207</v>
      </c>
      <c r="F214" s="200" t="s">
        <v>198</v>
      </c>
      <c r="G214" s="200" t="s">
        <v>208</v>
      </c>
    </row>
    <row r="215" spans="3:7" ht="30.75">
      <c r="C215" s="219" t="s">
        <v>606</v>
      </c>
      <c r="D215" s="219" t="s">
        <v>607</v>
      </c>
      <c r="E215" s="221" t="s">
        <v>207</v>
      </c>
      <c r="F215" s="200" t="s">
        <v>198</v>
      </c>
      <c r="G215" s="200" t="s">
        <v>208</v>
      </c>
    </row>
    <row r="216" spans="3:7" ht="30.75">
      <c r="C216" s="214" t="s">
        <v>608</v>
      </c>
      <c r="D216" s="215" t="s">
        <v>609</v>
      </c>
      <c r="E216" s="192"/>
      <c r="F216" s="207" t="s">
        <v>198</v>
      </c>
      <c r="G216" s="196" t="s">
        <v>199</v>
      </c>
    </row>
    <row r="217" spans="3:7" ht="30.75">
      <c r="C217" s="214" t="s">
        <v>610</v>
      </c>
      <c r="D217" s="215" t="s">
        <v>611</v>
      </c>
      <c r="E217" s="192"/>
      <c r="F217" s="207" t="s">
        <v>198</v>
      </c>
      <c r="G217" s="196" t="s">
        <v>199</v>
      </c>
    </row>
    <row r="218" spans="3:7" ht="15">
      <c r="C218" s="219" t="s">
        <v>612</v>
      </c>
      <c r="D218" s="219" t="s">
        <v>613</v>
      </c>
      <c r="E218" s="221" t="s">
        <v>207</v>
      </c>
      <c r="F218" s="200" t="s">
        <v>198</v>
      </c>
      <c r="G218" s="200" t="s">
        <v>208</v>
      </c>
    </row>
    <row r="219" spans="3:7" ht="30.75">
      <c r="C219" s="219" t="s">
        <v>614</v>
      </c>
      <c r="D219" s="219" t="s">
        <v>615</v>
      </c>
      <c r="E219" s="221" t="s">
        <v>207</v>
      </c>
      <c r="F219" s="200" t="s">
        <v>198</v>
      </c>
      <c r="G219" s="200" t="s">
        <v>208</v>
      </c>
    </row>
    <row r="220" spans="3:7" ht="15">
      <c r="C220" s="219" t="s">
        <v>616</v>
      </c>
      <c r="D220" s="219" t="s">
        <v>617</v>
      </c>
      <c r="E220" s="221" t="s">
        <v>207</v>
      </c>
      <c r="F220" s="200" t="s">
        <v>198</v>
      </c>
      <c r="G220" s="200" t="s">
        <v>208</v>
      </c>
    </row>
    <row r="221" spans="3:7" ht="30.75">
      <c r="C221" s="219" t="s">
        <v>618</v>
      </c>
      <c r="D221" s="219" t="s">
        <v>619</v>
      </c>
      <c r="E221" s="221" t="s">
        <v>207</v>
      </c>
      <c r="F221" s="200" t="s">
        <v>198</v>
      </c>
      <c r="G221" s="200" t="s">
        <v>208</v>
      </c>
    </row>
    <row r="222" spans="3:7" ht="15">
      <c r="C222" s="219" t="s">
        <v>620</v>
      </c>
      <c r="D222" s="219" t="s">
        <v>621</v>
      </c>
      <c r="E222" s="221" t="s">
        <v>207</v>
      </c>
      <c r="F222" s="200" t="s">
        <v>198</v>
      </c>
      <c r="G222" s="200" t="s">
        <v>208</v>
      </c>
    </row>
    <row r="223" spans="3:7" ht="15">
      <c r="C223" s="219" t="s">
        <v>622</v>
      </c>
      <c r="D223" s="219" t="s">
        <v>623</v>
      </c>
      <c r="E223" s="221" t="s">
        <v>207</v>
      </c>
      <c r="F223" s="200" t="s">
        <v>198</v>
      </c>
      <c r="G223" s="200" t="s">
        <v>208</v>
      </c>
    </row>
    <row r="224" spans="3:7" ht="30.75">
      <c r="C224" s="219" t="s">
        <v>624</v>
      </c>
      <c r="D224" s="219" t="s">
        <v>625</v>
      </c>
      <c r="E224" s="221" t="s">
        <v>207</v>
      </c>
      <c r="F224" s="200" t="s">
        <v>198</v>
      </c>
      <c r="G224" s="200" t="s">
        <v>208</v>
      </c>
    </row>
    <row r="225" spans="3:7" ht="15">
      <c r="C225" s="219" t="s">
        <v>626</v>
      </c>
      <c r="D225" s="219" t="s">
        <v>627</v>
      </c>
      <c r="E225" s="221" t="s">
        <v>207</v>
      </c>
      <c r="F225" s="200" t="s">
        <v>198</v>
      </c>
      <c r="G225" s="200" t="s">
        <v>208</v>
      </c>
    </row>
    <row r="226" spans="3:7" ht="30.75">
      <c r="C226" s="214" t="s">
        <v>628</v>
      </c>
      <c r="D226" s="215" t="s">
        <v>629</v>
      </c>
      <c r="E226" s="192"/>
      <c r="F226" s="207" t="s">
        <v>198</v>
      </c>
      <c r="G226" s="196" t="s">
        <v>199</v>
      </c>
    </row>
    <row r="227" spans="3:7" ht="30.75">
      <c r="C227" s="219" t="s">
        <v>630</v>
      </c>
      <c r="D227" s="219" t="s">
        <v>631</v>
      </c>
      <c r="E227" s="221" t="s">
        <v>207</v>
      </c>
      <c r="F227" s="200" t="s">
        <v>198</v>
      </c>
      <c r="G227" s="200" t="s">
        <v>208</v>
      </c>
    </row>
    <row r="228" spans="3:7" ht="30.75">
      <c r="C228" s="214" t="s">
        <v>632</v>
      </c>
      <c r="D228" s="215" t="s">
        <v>633</v>
      </c>
      <c r="E228" s="192"/>
      <c r="F228" s="207" t="s">
        <v>198</v>
      </c>
      <c r="G228" s="196" t="s">
        <v>199</v>
      </c>
    </row>
    <row r="229" spans="3:7" ht="15">
      <c r="C229" s="219" t="s">
        <v>634</v>
      </c>
      <c r="D229" s="219" t="s">
        <v>635</v>
      </c>
      <c r="E229" s="221" t="s">
        <v>207</v>
      </c>
      <c r="F229" s="200" t="s">
        <v>198</v>
      </c>
      <c r="G229" s="200" t="s">
        <v>208</v>
      </c>
    </row>
    <row r="230" spans="3:7" ht="30.75">
      <c r="C230" s="219" t="s">
        <v>636</v>
      </c>
      <c r="D230" s="219" t="s">
        <v>637</v>
      </c>
      <c r="E230" s="221" t="s">
        <v>207</v>
      </c>
      <c r="F230" s="200" t="s">
        <v>198</v>
      </c>
      <c r="G230" s="200" t="s">
        <v>208</v>
      </c>
    </row>
    <row r="231" spans="3:7" ht="15">
      <c r="C231" s="214" t="s">
        <v>638</v>
      </c>
      <c r="D231" s="215" t="s">
        <v>639</v>
      </c>
      <c r="E231" s="192"/>
      <c r="F231" s="207" t="s">
        <v>198</v>
      </c>
      <c r="G231" s="196" t="s">
        <v>199</v>
      </c>
    </row>
    <row r="232" spans="3:7" ht="30.75">
      <c r="C232" s="219" t="s">
        <v>640</v>
      </c>
      <c r="D232" s="219" t="s">
        <v>641</v>
      </c>
      <c r="E232" s="221" t="s">
        <v>207</v>
      </c>
      <c r="F232" s="200" t="s">
        <v>198</v>
      </c>
      <c r="G232" s="200" t="s">
        <v>208</v>
      </c>
    </row>
    <row r="233" spans="3:7" ht="15">
      <c r="C233" s="219" t="s">
        <v>638</v>
      </c>
      <c r="D233" s="219" t="s">
        <v>642</v>
      </c>
      <c r="E233" s="221" t="s">
        <v>207</v>
      </c>
      <c r="F233" s="200" t="s">
        <v>198</v>
      </c>
      <c r="G233" s="200" t="s">
        <v>208</v>
      </c>
    </row>
    <row r="234" spans="3:7" ht="30.75">
      <c r="C234" s="214" t="s">
        <v>643</v>
      </c>
      <c r="D234" s="215" t="s">
        <v>644</v>
      </c>
      <c r="E234" s="192"/>
      <c r="F234" s="207" t="s">
        <v>198</v>
      </c>
      <c r="G234" s="196" t="s">
        <v>199</v>
      </c>
    </row>
    <row r="235" spans="3:7" ht="15">
      <c r="C235" s="219" t="s">
        <v>645</v>
      </c>
      <c r="D235" s="219" t="s">
        <v>646</v>
      </c>
      <c r="E235" s="221" t="s">
        <v>207</v>
      </c>
      <c r="F235" s="200" t="s">
        <v>198</v>
      </c>
      <c r="G235" s="200" t="s">
        <v>208</v>
      </c>
    </row>
    <row r="236" spans="3:7" ht="15">
      <c r="C236" s="219" t="s">
        <v>647</v>
      </c>
      <c r="D236" s="219" t="s">
        <v>648</v>
      </c>
      <c r="E236" s="221" t="s">
        <v>207</v>
      </c>
      <c r="F236" s="200" t="s">
        <v>198</v>
      </c>
      <c r="G236" s="200" t="s">
        <v>208</v>
      </c>
    </row>
    <row r="237" spans="3:7" ht="30.75">
      <c r="C237" s="214" t="s">
        <v>649</v>
      </c>
      <c r="D237" s="215" t="s">
        <v>650</v>
      </c>
      <c r="E237" s="192"/>
      <c r="F237" s="207" t="s">
        <v>198</v>
      </c>
      <c r="G237" s="196" t="s">
        <v>199</v>
      </c>
    </row>
    <row r="238" spans="3:7" ht="15">
      <c r="C238" s="219" t="s">
        <v>651</v>
      </c>
      <c r="D238" s="219" t="s">
        <v>652</v>
      </c>
      <c r="E238" s="221" t="s">
        <v>207</v>
      </c>
      <c r="F238" s="200" t="s">
        <v>198</v>
      </c>
      <c r="G238" s="200" t="s">
        <v>208</v>
      </c>
    </row>
    <row r="239" spans="3:7" ht="30.75">
      <c r="C239" s="214" t="s">
        <v>653</v>
      </c>
      <c r="D239" s="215" t="s">
        <v>654</v>
      </c>
      <c r="E239" s="192"/>
      <c r="F239" s="207" t="s">
        <v>198</v>
      </c>
      <c r="G239" s="196" t="s">
        <v>199</v>
      </c>
    </row>
    <row r="240" spans="3:7" ht="30.75">
      <c r="C240" s="219" t="s">
        <v>655</v>
      </c>
      <c r="D240" s="219" t="s">
        <v>656</v>
      </c>
      <c r="E240" s="221" t="s">
        <v>207</v>
      </c>
      <c r="F240" s="200" t="s">
        <v>198</v>
      </c>
      <c r="G240" s="200" t="s">
        <v>208</v>
      </c>
    </row>
    <row r="241" spans="3:7" ht="15">
      <c r="C241" s="219" t="s">
        <v>657</v>
      </c>
      <c r="D241" s="219" t="s">
        <v>658</v>
      </c>
      <c r="E241" s="221" t="s">
        <v>207</v>
      </c>
      <c r="F241" s="200" t="s">
        <v>198</v>
      </c>
      <c r="G241" s="200" t="s">
        <v>208</v>
      </c>
    </row>
    <row r="242" spans="3:7" ht="30.75">
      <c r="C242" s="219" t="s">
        <v>659</v>
      </c>
      <c r="D242" s="219" t="s">
        <v>660</v>
      </c>
      <c r="E242" s="221" t="s">
        <v>207</v>
      </c>
      <c r="F242" s="200" t="s">
        <v>198</v>
      </c>
      <c r="G242" s="200" t="s">
        <v>208</v>
      </c>
    </row>
    <row r="243" spans="3:7" ht="30.75">
      <c r="C243" s="214" t="s">
        <v>661</v>
      </c>
      <c r="D243" s="215" t="s">
        <v>662</v>
      </c>
      <c r="E243" s="192"/>
      <c r="F243" s="207" t="s">
        <v>198</v>
      </c>
      <c r="G243" s="196" t="s">
        <v>199</v>
      </c>
    </row>
    <row r="244" spans="3:7" ht="15">
      <c r="C244" s="214" t="s">
        <v>663</v>
      </c>
      <c r="D244" s="215" t="s">
        <v>664</v>
      </c>
      <c r="E244" s="192"/>
      <c r="F244" s="207" t="s">
        <v>198</v>
      </c>
      <c r="G244" s="196" t="s">
        <v>199</v>
      </c>
    </row>
    <row r="245" spans="3:7" ht="15">
      <c r="C245" s="219" t="s">
        <v>665</v>
      </c>
      <c r="D245" s="219" t="s">
        <v>666</v>
      </c>
      <c r="E245" s="221" t="s">
        <v>207</v>
      </c>
      <c r="F245" s="200" t="s">
        <v>198</v>
      </c>
      <c r="G245" s="200" t="s">
        <v>208</v>
      </c>
    </row>
    <row r="246" spans="3:7" ht="30.75">
      <c r="C246" s="219" t="s">
        <v>667</v>
      </c>
      <c r="D246" s="219" t="s">
        <v>668</v>
      </c>
      <c r="E246" s="221" t="s">
        <v>207</v>
      </c>
      <c r="F246" s="200" t="s">
        <v>198</v>
      </c>
      <c r="G246" s="200" t="s">
        <v>208</v>
      </c>
    </row>
    <row r="247" spans="3:7" ht="15">
      <c r="C247" s="219" t="s">
        <v>669</v>
      </c>
      <c r="D247" s="219" t="s">
        <v>670</v>
      </c>
      <c r="E247" s="221" t="s">
        <v>207</v>
      </c>
      <c r="F247" s="200" t="s">
        <v>198</v>
      </c>
      <c r="G247" s="200" t="s">
        <v>208</v>
      </c>
    </row>
    <row r="248" spans="3:7" ht="30.75">
      <c r="C248" s="219" t="s">
        <v>671</v>
      </c>
      <c r="D248" s="219" t="s">
        <v>672</v>
      </c>
      <c r="E248" s="221" t="s">
        <v>207</v>
      </c>
      <c r="F248" s="200" t="s">
        <v>198</v>
      </c>
      <c r="G248" s="200" t="s">
        <v>208</v>
      </c>
    </row>
    <row r="249" spans="3:7" ht="30.75">
      <c r="C249" s="219" t="s">
        <v>673</v>
      </c>
      <c r="D249" s="219" t="s">
        <v>674</v>
      </c>
      <c r="E249" s="221" t="s">
        <v>207</v>
      </c>
      <c r="F249" s="200" t="s">
        <v>198</v>
      </c>
      <c r="G249" s="200" t="s">
        <v>208</v>
      </c>
    </row>
    <row r="250" spans="3:7" ht="30.75">
      <c r="C250" s="219" t="s">
        <v>675</v>
      </c>
      <c r="D250" s="219" t="s">
        <v>676</v>
      </c>
      <c r="E250" s="221" t="s">
        <v>207</v>
      </c>
      <c r="F250" s="200" t="s">
        <v>198</v>
      </c>
      <c r="G250" s="200" t="s">
        <v>208</v>
      </c>
    </row>
    <row r="251" spans="3:7" ht="30.75">
      <c r="C251" s="219" t="s">
        <v>677</v>
      </c>
      <c r="D251" s="219" t="s">
        <v>678</v>
      </c>
      <c r="E251" s="221" t="s">
        <v>207</v>
      </c>
      <c r="F251" s="200" t="s">
        <v>198</v>
      </c>
      <c r="G251" s="200" t="s">
        <v>208</v>
      </c>
    </row>
    <row r="252" spans="3:7" ht="30.75">
      <c r="C252" s="219" t="s">
        <v>679</v>
      </c>
      <c r="D252" s="219" t="s">
        <v>680</v>
      </c>
      <c r="E252" s="221" t="s">
        <v>207</v>
      </c>
      <c r="F252" s="200" t="s">
        <v>198</v>
      </c>
      <c r="G252" s="200" t="s">
        <v>208</v>
      </c>
    </row>
    <row r="253" spans="3:7" ht="15">
      <c r="C253" s="219" t="s">
        <v>681</v>
      </c>
      <c r="D253" s="219" t="s">
        <v>682</v>
      </c>
      <c r="E253" s="221" t="s">
        <v>207</v>
      </c>
      <c r="F253" s="200" t="s">
        <v>198</v>
      </c>
      <c r="G253" s="200" t="s">
        <v>208</v>
      </c>
    </row>
    <row r="254" spans="3:7" ht="30.75">
      <c r="C254" s="219" t="s">
        <v>683</v>
      </c>
      <c r="D254" s="219" t="s">
        <v>684</v>
      </c>
      <c r="E254" s="221" t="s">
        <v>207</v>
      </c>
      <c r="F254" s="200" t="s">
        <v>198</v>
      </c>
      <c r="G254" s="200" t="s">
        <v>208</v>
      </c>
    </row>
    <row r="255" spans="3:7" ht="30.75">
      <c r="C255" s="219" t="s">
        <v>685</v>
      </c>
      <c r="D255" s="219" t="s">
        <v>686</v>
      </c>
      <c r="E255" s="221" t="s">
        <v>207</v>
      </c>
      <c r="F255" s="200" t="s">
        <v>198</v>
      </c>
      <c r="G255" s="200" t="s">
        <v>208</v>
      </c>
    </row>
    <row r="256" spans="3:7" ht="15">
      <c r="C256" s="219" t="s">
        <v>687</v>
      </c>
      <c r="D256" s="219" t="s">
        <v>688</v>
      </c>
      <c r="E256" s="221" t="s">
        <v>207</v>
      </c>
      <c r="F256" s="200" t="s">
        <v>198</v>
      </c>
      <c r="G256" s="200" t="s">
        <v>208</v>
      </c>
    </row>
  </sheetData>
  <sheetProtection password="C64F" sheet="1" objects="1" scenarios="1"/>
  <protectedRanges>
    <protectedRange sqref="C5:G5" name="Диапазон1_1"/>
    <protectedRange sqref="C5:G5" name="Диапазон2_1"/>
  </protectedRange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C3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29.625" style="0" customWidth="1"/>
    <col min="2" max="2" width="28.50390625" style="0" customWidth="1"/>
    <col min="3" max="3" width="10.00390625" style="0" customWidth="1"/>
  </cols>
  <sheetData>
    <row r="1" spans="1:3" ht="42" customHeight="1">
      <c r="A1" s="287" t="s">
        <v>22</v>
      </c>
      <c r="B1" s="289" t="s">
        <v>133</v>
      </c>
      <c r="C1" s="59" t="s">
        <v>66</v>
      </c>
    </row>
    <row r="2" spans="1:3" ht="13.5" thickBot="1">
      <c r="A2" s="288"/>
      <c r="B2" s="290"/>
      <c r="C2" s="60" t="s">
        <v>67</v>
      </c>
    </row>
    <row r="3" spans="1:3" ht="27.75" customHeight="1">
      <c r="A3" s="99" t="s">
        <v>94</v>
      </c>
      <c r="B3" s="115" t="s">
        <v>134</v>
      </c>
      <c r="C3" s="116" t="s">
        <v>135</v>
      </c>
    </row>
  </sheetData>
  <sheetProtection/>
  <mergeCells count="2">
    <mergeCell ref="A1:A2"/>
    <mergeCell ref="B1:B2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rgb="FF99FF99"/>
  </sheetPr>
  <dimension ref="A1:G22"/>
  <sheetViews>
    <sheetView zoomScalePageLayoutView="0" workbookViewId="0" topLeftCell="A1">
      <selection activeCell="C7" sqref="C7:G7"/>
    </sheetView>
  </sheetViews>
  <sheetFormatPr defaultColWidth="9.125" defaultRowHeight="12.75"/>
  <cols>
    <col min="1" max="1" width="4.125" style="170" customWidth="1"/>
    <col min="2" max="2" width="28.375" style="170" customWidth="1"/>
    <col min="3" max="3" width="9.125" style="170" customWidth="1"/>
    <col min="4" max="4" width="14.50390625" style="170" customWidth="1"/>
    <col min="5" max="5" width="16.625" style="170" customWidth="1"/>
    <col min="6" max="6" width="20.625" style="170" customWidth="1"/>
    <col min="7" max="7" width="15.50390625" style="170" customWidth="1"/>
    <col min="8" max="8" width="14.50390625" style="170" customWidth="1"/>
    <col min="9" max="9" width="23.50390625" style="170" customWidth="1"/>
    <col min="10" max="16384" width="9.125" style="170" customWidth="1"/>
  </cols>
  <sheetData>
    <row r="1" spans="2:7" ht="13.5" customHeight="1">
      <c r="B1" s="305" t="s">
        <v>153</v>
      </c>
      <c r="C1" s="305"/>
      <c r="D1" s="305"/>
      <c r="E1" s="305"/>
      <c r="F1" s="305"/>
      <c r="G1" s="305"/>
    </row>
    <row r="2" spans="2:7" ht="12.75" customHeight="1">
      <c r="B2" s="303" t="s">
        <v>154</v>
      </c>
      <c r="C2" s="303"/>
      <c r="D2" s="303"/>
      <c r="E2" s="303"/>
      <c r="F2" s="303"/>
      <c r="G2" s="303"/>
    </row>
    <row r="3" spans="1:7" ht="30" customHeight="1">
      <c r="A3" s="171" t="s">
        <v>155</v>
      </c>
      <c r="B3" s="172" t="s">
        <v>156</v>
      </c>
      <c r="C3" s="294" t="s">
        <v>157</v>
      </c>
      <c r="D3" s="294"/>
      <c r="E3" s="294"/>
      <c r="F3" s="294"/>
      <c r="G3" s="294"/>
    </row>
    <row r="4" spans="1:7" ht="110.25" customHeight="1">
      <c r="A4" s="171">
        <v>1</v>
      </c>
      <c r="B4" s="173" t="s">
        <v>158</v>
      </c>
      <c r="C4" s="174">
        <f>'[2]Расчет'!R16</f>
        <v>1000</v>
      </c>
      <c r="D4" s="306" t="str">
        <f>CurText(C4)</f>
        <v>(одна тысяча) белорусских рублей 00 копеек</v>
      </c>
      <c r="E4" s="306"/>
      <c r="F4" s="306"/>
      <c r="G4" s="307"/>
    </row>
    <row r="5" spans="1:7" ht="84.75" customHeight="1">
      <c r="A5" s="171">
        <v>2</v>
      </c>
      <c r="B5" s="171" t="s">
        <v>159</v>
      </c>
      <c r="C5" s="308" t="s">
        <v>160</v>
      </c>
      <c r="D5" s="308"/>
      <c r="E5" s="308"/>
      <c r="F5" s="308"/>
      <c r="G5" s="308"/>
    </row>
    <row r="6" spans="1:7" ht="25.5" customHeight="1">
      <c r="A6" s="294">
        <v>3</v>
      </c>
      <c r="B6" s="309" t="s">
        <v>161</v>
      </c>
      <c r="C6" s="297" t="s">
        <v>162</v>
      </c>
      <c r="D6" s="292"/>
      <c r="E6" s="292"/>
      <c r="F6" s="175" t="str">
        <f>Переменные!B44</f>
        <v>3 месяца</v>
      </c>
      <c r="G6" s="176"/>
    </row>
    <row r="7" spans="1:7" ht="87.75" customHeight="1">
      <c r="A7" s="296"/>
      <c r="B7" s="293"/>
      <c r="C7" s="298" t="s">
        <v>163</v>
      </c>
      <c r="D7" s="301"/>
      <c r="E7" s="301"/>
      <c r="F7" s="301"/>
      <c r="G7" s="302"/>
    </row>
    <row r="8" spans="1:7" ht="15.75" customHeight="1">
      <c r="A8" s="294">
        <v>4</v>
      </c>
      <c r="B8" s="297" t="s">
        <v>164</v>
      </c>
      <c r="C8" s="179">
        <f>Переменные!B21</f>
        <v>9.99</v>
      </c>
      <c r="D8" s="292" t="str">
        <f>CurText_Procenty_PPS(C8)</f>
        <v>(девять целых девяносто девять сотых ) процентов годовых.</v>
      </c>
      <c r="E8" s="292"/>
      <c r="F8" s="292"/>
      <c r="G8" s="300"/>
    </row>
    <row r="9" spans="1:7" ht="118.5" customHeight="1">
      <c r="A9" s="295"/>
      <c r="B9" s="298"/>
      <c r="C9" s="298" t="s">
        <v>185</v>
      </c>
      <c r="D9" s="301"/>
      <c r="E9" s="301"/>
      <c r="F9" s="301"/>
      <c r="G9" s="302"/>
    </row>
    <row r="10" spans="1:7" ht="18" customHeight="1">
      <c r="A10" s="295"/>
      <c r="B10" s="298"/>
      <c r="C10" s="298" t="s">
        <v>166</v>
      </c>
      <c r="D10" s="301"/>
      <c r="E10" s="301"/>
      <c r="F10" s="301"/>
      <c r="G10" s="302"/>
    </row>
    <row r="11" spans="1:7" ht="34.5" customHeight="1">
      <c r="A11" s="296"/>
      <c r="B11" s="299"/>
      <c r="C11" s="180">
        <f>ROUND('График-рассрочка 3'!E22,2)</f>
        <v>20.07</v>
      </c>
      <c r="D11" s="303" t="str">
        <f>CurText(C11)</f>
        <v>(двадцать) белорусских рублей 07 копеек</v>
      </c>
      <c r="E11" s="303"/>
      <c r="F11" s="303"/>
      <c r="G11" s="304"/>
    </row>
    <row r="12" spans="1:7" ht="46.5" customHeight="1">
      <c r="A12" s="171">
        <v>5</v>
      </c>
      <c r="B12" s="171" t="s">
        <v>167</v>
      </c>
      <c r="C12" s="293" t="s">
        <v>168</v>
      </c>
      <c r="D12" s="293"/>
      <c r="E12" s="293"/>
      <c r="F12" s="293"/>
      <c r="G12" s="293"/>
    </row>
    <row r="13" spans="1:7" ht="100.5" customHeight="1">
      <c r="A13" s="171">
        <v>6</v>
      </c>
      <c r="B13" s="171" t="s">
        <v>169</v>
      </c>
      <c r="C13" s="291" t="s">
        <v>170</v>
      </c>
      <c r="D13" s="291"/>
      <c r="E13" s="291"/>
      <c r="F13" s="291"/>
      <c r="G13" s="291"/>
    </row>
    <row r="14" spans="1:7" ht="46.5">
      <c r="A14" s="171">
        <v>7</v>
      </c>
      <c r="B14" s="171" t="s">
        <v>171</v>
      </c>
      <c r="C14" s="291" t="s">
        <v>172</v>
      </c>
      <c r="D14" s="291"/>
      <c r="E14" s="291"/>
      <c r="F14" s="291"/>
      <c r="G14" s="291"/>
    </row>
    <row r="15" spans="1:7" ht="84" customHeight="1">
      <c r="A15" s="171">
        <v>8</v>
      </c>
      <c r="B15" s="171" t="s">
        <v>173</v>
      </c>
      <c r="C15" s="291" t="s">
        <v>174</v>
      </c>
      <c r="D15" s="291"/>
      <c r="E15" s="291"/>
      <c r="F15" s="291"/>
      <c r="G15" s="291"/>
    </row>
    <row r="16" spans="1:7" ht="30.75">
      <c r="A16" s="171">
        <v>9</v>
      </c>
      <c r="B16" s="171" t="s">
        <v>175</v>
      </c>
      <c r="C16" s="291" t="s">
        <v>176</v>
      </c>
      <c r="D16" s="291"/>
      <c r="E16" s="291"/>
      <c r="F16" s="291"/>
      <c r="G16" s="291"/>
    </row>
    <row r="17" spans="1:7" ht="297.75" customHeight="1">
      <c r="A17" s="171">
        <v>10</v>
      </c>
      <c r="B17" s="171" t="s">
        <v>177</v>
      </c>
      <c r="C17" s="291" t="s">
        <v>178</v>
      </c>
      <c r="D17" s="291"/>
      <c r="E17" s="291"/>
      <c r="F17" s="291"/>
      <c r="G17" s="291"/>
    </row>
    <row r="18" spans="1:7" ht="140.25">
      <c r="A18" s="171">
        <v>11</v>
      </c>
      <c r="B18" s="171" t="s">
        <v>179</v>
      </c>
      <c r="C18" s="291" t="s">
        <v>180</v>
      </c>
      <c r="D18" s="291"/>
      <c r="E18" s="291"/>
      <c r="F18" s="291"/>
      <c r="G18" s="291"/>
    </row>
    <row r="19" spans="1:7" ht="78">
      <c r="A19" s="171">
        <v>12</v>
      </c>
      <c r="B19" s="171" t="s">
        <v>181</v>
      </c>
      <c r="C19" s="291" t="s">
        <v>180</v>
      </c>
      <c r="D19" s="291"/>
      <c r="E19" s="291"/>
      <c r="F19" s="291"/>
      <c r="G19" s="291"/>
    </row>
    <row r="20" spans="2:7" ht="18.75" customHeight="1">
      <c r="B20" s="292" t="s">
        <v>182</v>
      </c>
      <c r="C20" s="292"/>
      <c r="D20" s="292"/>
      <c r="E20" s="292"/>
      <c r="F20" s="292"/>
      <c r="G20" s="292"/>
    </row>
    <row r="21" ht="30.75">
      <c r="B21" s="170" t="s">
        <v>183</v>
      </c>
    </row>
    <row r="22" spans="2:3" ht="15">
      <c r="B22" s="177">
        <f ca="1">TODAY()</f>
        <v>44113</v>
      </c>
      <c r="C22" s="178" t="s">
        <v>184</v>
      </c>
    </row>
  </sheetData>
  <sheetProtection password="C64F" sheet="1" objects="1" scenarios="1"/>
  <protectedRanges>
    <protectedRange sqref="F6" name="Диапазон1"/>
  </protectedRanges>
  <mergeCells count="24">
    <mergeCell ref="B1:G1"/>
    <mergeCell ref="B2:G2"/>
    <mergeCell ref="C3:G3"/>
    <mergeCell ref="D4:G4"/>
    <mergeCell ref="C5:G5"/>
    <mergeCell ref="A6:A7"/>
    <mergeCell ref="B6:B7"/>
    <mergeCell ref="C6:E6"/>
    <mergeCell ref="C7:G7"/>
    <mergeCell ref="A8:A11"/>
    <mergeCell ref="B8:B11"/>
    <mergeCell ref="D8:G8"/>
    <mergeCell ref="C9:G9"/>
    <mergeCell ref="C10:G10"/>
    <mergeCell ref="D11:G11"/>
    <mergeCell ref="C18:G18"/>
    <mergeCell ref="C19:G19"/>
    <mergeCell ref="B20:G20"/>
    <mergeCell ref="C12:G12"/>
    <mergeCell ref="C13:G13"/>
    <mergeCell ref="C14:G14"/>
    <mergeCell ref="C15:G15"/>
    <mergeCell ref="C16:G16"/>
    <mergeCell ref="C17:G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>
    <tabColor rgb="FF99FF99"/>
  </sheetPr>
  <dimension ref="A1:J26"/>
  <sheetViews>
    <sheetView zoomScalePageLayoutView="0" workbookViewId="0" topLeftCell="A4">
      <selection activeCell="A16" sqref="A16:A17"/>
    </sheetView>
  </sheetViews>
  <sheetFormatPr defaultColWidth="9.125" defaultRowHeight="12.75"/>
  <cols>
    <col min="1" max="1" width="25.875" style="142" customWidth="1"/>
    <col min="2" max="2" width="14.375" style="142" hidden="1" customWidth="1"/>
    <col min="3" max="3" width="15.125" style="142" customWidth="1"/>
    <col min="4" max="5" width="11.50390625" style="142" customWidth="1"/>
    <col min="6" max="6" width="14.50390625" style="142" customWidth="1"/>
    <col min="7" max="8" width="9.125" style="142" hidden="1" customWidth="1"/>
    <col min="9" max="9" width="14.625" style="142" hidden="1" customWidth="1"/>
    <col min="10" max="10" width="0.875" style="142" hidden="1" customWidth="1"/>
    <col min="11" max="11" width="9.125" style="142" customWidth="1"/>
    <col min="12" max="16384" width="9.125" style="142" customWidth="1"/>
  </cols>
  <sheetData>
    <row r="1" spans="1:2" ht="13.5" hidden="1">
      <c r="A1" s="142" t="s">
        <v>136</v>
      </c>
      <c r="B1" s="143">
        <f>Переменные!B21</f>
        <v>9.99</v>
      </c>
    </row>
    <row r="2" spans="1:10" ht="13.5" hidden="1">
      <c r="A2" s="11" t="s">
        <v>137</v>
      </c>
      <c r="B2" s="144">
        <f>Переменные!B21</f>
        <v>9.99</v>
      </c>
      <c r="C2" s="145"/>
      <c r="D2" s="145"/>
      <c r="F2" s="146"/>
      <c r="G2" s="146"/>
      <c r="H2" s="146"/>
      <c r="I2" s="147"/>
      <c r="J2" s="148" t="e">
        <f>IF(AND('[1]Расчет'!#REF!=2,'[1]Расчет'!#REF!=1),C2,IF(AND('[1]Расчет'!#REF!=1,'[1]Расчет'!#REF!=1),D2,IF(AND('[1]Расчет'!#REF!=1,'[1]Расчет'!#REF!=2),'[1]Переменные'!#REF!/100,'[1]Переменные'!#REF!/100)))</f>
        <v>#REF!</v>
      </c>
    </row>
    <row r="3" spans="1:10" ht="13.5" hidden="1">
      <c r="A3" s="13" t="s">
        <v>109</v>
      </c>
      <c r="B3" s="14">
        <f ca="1">TODAY()</f>
        <v>44113</v>
      </c>
      <c r="D3" s="149"/>
      <c r="E3" s="146"/>
      <c r="F3" s="146"/>
      <c r="G3" s="146"/>
      <c r="H3" s="146"/>
      <c r="I3" s="147"/>
      <c r="J3" s="147"/>
    </row>
    <row r="4" spans="5:10" ht="13.5">
      <c r="E4" s="146"/>
      <c r="F4" s="146"/>
      <c r="G4" s="146"/>
      <c r="H4" s="146"/>
      <c r="I4" s="147"/>
      <c r="J4" s="147"/>
    </row>
    <row r="5" spans="4:10" ht="13.5">
      <c r="D5" s="150"/>
      <c r="E5" s="151"/>
      <c r="F5" s="151" t="s">
        <v>138</v>
      </c>
      <c r="G5" s="146"/>
      <c r="H5" s="146"/>
      <c r="I5" s="147"/>
      <c r="J5" s="147"/>
    </row>
    <row r="6" spans="4:10" ht="13.5">
      <c r="D6" s="310" t="s">
        <v>139</v>
      </c>
      <c r="E6" s="310"/>
      <c r="F6" s="310"/>
      <c r="G6" s="146"/>
      <c r="H6" s="146"/>
      <c r="I6" s="147"/>
      <c r="J6" s="147"/>
    </row>
    <row r="7" spans="5:10" ht="13.5">
      <c r="E7" s="146"/>
      <c r="F7" s="146"/>
      <c r="G7" s="146"/>
      <c r="H7" s="146"/>
      <c r="I7" s="147"/>
      <c r="J7" s="147"/>
    </row>
    <row r="8" spans="1:10" ht="12.75" customHeight="1">
      <c r="A8" s="152"/>
      <c r="B8" s="311" t="s">
        <v>140</v>
      </c>
      <c r="C8" s="311"/>
      <c r="D8" s="311"/>
      <c r="E8" s="311"/>
      <c r="F8" s="311"/>
      <c r="G8" s="311"/>
      <c r="H8" s="146"/>
      <c r="I8" s="147"/>
      <c r="J8" s="147"/>
    </row>
    <row r="9" spans="1:10" ht="12.75" customHeight="1">
      <c r="A9" s="152"/>
      <c r="B9" s="153"/>
      <c r="C9" s="153"/>
      <c r="D9" s="153"/>
      <c r="E9" s="153"/>
      <c r="F9" s="153"/>
      <c r="G9" s="153"/>
      <c r="H9" s="146"/>
      <c r="I9" s="147"/>
      <c r="J9" s="147"/>
    </row>
    <row r="10" spans="1:10" ht="12.75" customHeight="1">
      <c r="A10" s="154" t="s">
        <v>141</v>
      </c>
      <c r="B10" s="155"/>
      <c r="C10" s="156">
        <f>Расчет!B16</f>
        <v>1000</v>
      </c>
      <c r="D10" s="155" t="s">
        <v>142</v>
      </c>
      <c r="E10" s="155"/>
      <c r="F10" s="155"/>
      <c r="G10" s="153"/>
      <c r="H10" s="146"/>
      <c r="I10" s="147"/>
      <c r="J10" s="147"/>
    </row>
    <row r="11" spans="1:10" ht="12.75" customHeight="1">
      <c r="A11" s="154" t="s">
        <v>111</v>
      </c>
      <c r="B11" s="155"/>
      <c r="C11" s="147" t="str">
        <f>Переменные!B44</f>
        <v>3 месяца</v>
      </c>
      <c r="D11" s="155"/>
      <c r="E11" s="155"/>
      <c r="F11" s="155"/>
      <c r="G11" s="153"/>
      <c r="H11" s="146"/>
      <c r="I11" s="147"/>
      <c r="J11" s="147"/>
    </row>
    <row r="12" spans="1:10" ht="12.75" customHeight="1">
      <c r="A12" s="312"/>
      <c r="B12" s="312"/>
      <c r="C12" s="312"/>
      <c r="D12" s="155"/>
      <c r="E12" s="155"/>
      <c r="F12" s="155"/>
      <c r="G12" s="153"/>
      <c r="H12" s="146"/>
      <c r="I12" s="147"/>
      <c r="J12" s="147"/>
    </row>
    <row r="13" spans="1:10" ht="15" customHeight="1">
      <c r="A13" s="313" t="s">
        <v>143</v>
      </c>
      <c r="B13" s="157"/>
      <c r="C13" s="157"/>
      <c r="D13" s="155"/>
      <c r="E13" s="155"/>
      <c r="F13" s="155"/>
      <c r="G13" s="153"/>
      <c r="H13" s="146"/>
      <c r="I13" s="147"/>
      <c r="J13" s="147"/>
    </row>
    <row r="14" spans="1:10" ht="15" customHeight="1">
      <c r="A14" s="313"/>
      <c r="B14" s="155"/>
      <c r="C14" s="147">
        <f>B2</f>
        <v>9.99</v>
      </c>
      <c r="D14" s="155" t="s">
        <v>144</v>
      </c>
      <c r="E14" s="155"/>
      <c r="F14" s="155"/>
      <c r="G14" s="153"/>
      <c r="H14" s="146"/>
      <c r="I14" s="147"/>
      <c r="J14" s="147"/>
    </row>
    <row r="15" spans="2:10" ht="14.25" thickBot="1">
      <c r="B15" s="147"/>
      <c r="G15" s="146"/>
      <c r="H15" s="146"/>
      <c r="I15" s="147"/>
      <c r="J15" s="147"/>
    </row>
    <row r="16" spans="1:10" ht="15" customHeight="1">
      <c r="A16" s="314"/>
      <c r="B16" s="316" t="s">
        <v>110</v>
      </c>
      <c r="C16" s="318" t="s">
        <v>145</v>
      </c>
      <c r="D16" s="318" t="s">
        <v>146</v>
      </c>
      <c r="E16" s="318" t="s">
        <v>147</v>
      </c>
      <c r="F16" s="320" t="s">
        <v>148</v>
      </c>
      <c r="G16" s="146"/>
      <c r="H16" s="146"/>
      <c r="I16" s="147"/>
      <c r="J16" s="147"/>
    </row>
    <row r="17" spans="1:10" ht="48.75" customHeight="1" thickBot="1">
      <c r="A17" s="315"/>
      <c r="B17" s="317"/>
      <c r="C17" s="319"/>
      <c r="D17" s="319"/>
      <c r="E17" s="319"/>
      <c r="F17" s="321"/>
      <c r="G17" s="146"/>
      <c r="H17" s="146"/>
      <c r="I17" s="147"/>
      <c r="J17" s="147"/>
    </row>
    <row r="18" spans="1:10" ht="15.75" customHeight="1">
      <c r="A18" s="158" t="s">
        <v>149</v>
      </c>
      <c r="B18" s="159"/>
      <c r="C18" s="160">
        <f>C10</f>
        <v>1000</v>
      </c>
      <c r="D18" s="159"/>
      <c r="E18" s="159"/>
      <c r="F18" s="161"/>
      <c r="G18" s="146"/>
      <c r="H18" s="146"/>
      <c r="I18" s="147"/>
      <c r="J18" s="147"/>
    </row>
    <row r="19" spans="1:10" ht="13.5">
      <c r="A19" s="162">
        <v>1</v>
      </c>
      <c r="B19" s="138">
        <f>IF(MONTH(B3)=12,DATE(YEAR($B$3+365),MONTH($B$3+31*H19),1),DATE(YEAR($B$3),MONTH($B$3+31*H19),1))</f>
        <v>44136</v>
      </c>
      <c r="C19" s="109">
        <f>C18-D19</f>
        <v>666.6700000000001</v>
      </c>
      <c r="D19" s="109">
        <f>ROUND($C$18/3,2)</f>
        <v>333.33</v>
      </c>
      <c r="E19" s="109">
        <f>C18*$B$1%*(B19-B3)/365</f>
        <v>6.295068493150685</v>
      </c>
      <c r="F19" s="113">
        <f>E19+D19</f>
        <v>339.62506849315065</v>
      </c>
      <c r="H19" s="142">
        <v>1</v>
      </c>
      <c r="I19" s="163">
        <f>C19*(B19-B3)</f>
        <v>15333.410000000002</v>
      </c>
      <c r="J19" s="147"/>
    </row>
    <row r="20" spans="1:10" ht="13.5">
      <c r="A20" s="162">
        <f>A19+1</f>
        <v>2</v>
      </c>
      <c r="B20" s="138">
        <f>IF(MONTH(B19)=12,DATE(YEAR(B19+365),MONTH(B19+31),1),DATE(YEAR(B19),MONTH(B19+31),1))</f>
        <v>44166</v>
      </c>
      <c r="C20" s="109">
        <f>C19-D20</f>
        <v>333.3400000000001</v>
      </c>
      <c r="D20" s="109">
        <f>ROUND($C$18/3,2)</f>
        <v>333.33</v>
      </c>
      <c r="E20" s="109">
        <f>C18*$B$1%*20/365+C19*$B$1%*(B20-B19-20)/365</f>
        <v>7.298639260273973</v>
      </c>
      <c r="F20" s="113">
        <f>E20+D20</f>
        <v>340.628639260274</v>
      </c>
      <c r="H20" s="142">
        <f>H19+1</f>
        <v>2</v>
      </c>
      <c r="I20" s="163">
        <f>C19*(B20-B19)</f>
        <v>20000.100000000002</v>
      </c>
      <c r="J20" s="147"/>
    </row>
    <row r="21" spans="1:10" ht="13.5">
      <c r="A21" s="162">
        <f>A20+1</f>
        <v>3</v>
      </c>
      <c r="B21" s="138">
        <f>IF(MONTH(B20)=12,DATE(YEAR(B20+365),MONTH(B20+31),1),DATE(YEAR(B20),MONTH(B20+31),1))</f>
        <v>44197</v>
      </c>
      <c r="C21" s="109">
        <f>C20-D21</f>
        <v>0</v>
      </c>
      <c r="D21" s="109">
        <f>C20</f>
        <v>333.3400000000001</v>
      </c>
      <c r="E21" s="109">
        <f>C19*$B$1%*20/365+C20*$B$1%*(B21-B20-20)/365+C20*$B$1%*20/365</f>
        <v>6.477609057534247</v>
      </c>
      <c r="F21" s="113">
        <f>E21+D21</f>
        <v>339.81760905753436</v>
      </c>
      <c r="H21" s="142">
        <f>H20+1</f>
        <v>3</v>
      </c>
      <c r="I21" s="163">
        <f>C20*(B21-B20)</f>
        <v>10333.540000000003</v>
      </c>
      <c r="J21" s="147"/>
    </row>
    <row r="22" spans="1:10" ht="14.25" thickBot="1">
      <c r="A22" s="164" t="s">
        <v>148</v>
      </c>
      <c r="B22" s="165" t="s">
        <v>148</v>
      </c>
      <c r="C22" s="166"/>
      <c r="D22" s="167">
        <f>SUM(D19:D21)</f>
        <v>1000</v>
      </c>
      <c r="E22" s="167">
        <f>SUM(E19:E21)</f>
        <v>20.071316810958905</v>
      </c>
      <c r="F22" s="168">
        <f>E22+D22</f>
        <v>1020.0713168109589</v>
      </c>
      <c r="G22" s="147"/>
      <c r="I22" s="163"/>
      <c r="J22" s="147"/>
    </row>
    <row r="24" spans="4:9" ht="13.5">
      <c r="D24" s="169"/>
      <c r="E24" s="169"/>
      <c r="F24" s="169"/>
      <c r="I24" s="163"/>
    </row>
    <row r="25" spans="2:6" ht="13.5">
      <c r="B25" s="149"/>
      <c r="D25" s="169"/>
      <c r="E25" s="169"/>
      <c r="F25" s="169"/>
    </row>
    <row r="26" spans="4:6" ht="13.5">
      <c r="D26" s="169"/>
      <c r="E26" s="169"/>
      <c r="F26" s="169"/>
    </row>
  </sheetData>
  <sheetProtection password="C64F" sheet="1"/>
  <mergeCells count="10">
    <mergeCell ref="D6:F6"/>
    <mergeCell ref="B8:G8"/>
    <mergeCell ref="A12:C12"/>
    <mergeCell ref="A13:A14"/>
    <mergeCell ref="A16:A17"/>
    <mergeCell ref="B16:B17"/>
    <mergeCell ref="C16:C17"/>
    <mergeCell ref="D16:D17"/>
    <mergeCell ref="E16:E17"/>
    <mergeCell ref="F16:F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>
    <tabColor rgb="FFFFCCCC"/>
  </sheetPr>
  <dimension ref="A1:G22"/>
  <sheetViews>
    <sheetView zoomScalePageLayoutView="0" workbookViewId="0" topLeftCell="A1">
      <selection activeCell="G6" sqref="G6"/>
    </sheetView>
  </sheetViews>
  <sheetFormatPr defaultColWidth="9.125" defaultRowHeight="12.75"/>
  <cols>
    <col min="1" max="1" width="4.125" style="170" customWidth="1"/>
    <col min="2" max="2" width="28.375" style="170" customWidth="1"/>
    <col min="3" max="3" width="9.125" style="170" customWidth="1"/>
    <col min="4" max="4" width="14.50390625" style="170" customWidth="1"/>
    <col min="5" max="5" width="16.625" style="170" customWidth="1"/>
    <col min="6" max="6" width="20.625" style="170" customWidth="1"/>
    <col min="7" max="7" width="15.50390625" style="170" customWidth="1"/>
    <col min="8" max="8" width="14.50390625" style="170" customWidth="1"/>
    <col min="9" max="9" width="23.50390625" style="170" customWidth="1"/>
    <col min="10" max="16384" width="9.125" style="170" customWidth="1"/>
  </cols>
  <sheetData>
    <row r="1" spans="2:7" ht="13.5" customHeight="1">
      <c r="B1" s="305" t="s">
        <v>153</v>
      </c>
      <c r="C1" s="305"/>
      <c r="D1" s="305"/>
      <c r="E1" s="305"/>
      <c r="F1" s="305"/>
      <c r="G1" s="305"/>
    </row>
    <row r="2" spans="2:7" ht="12.75" customHeight="1">
      <c r="B2" s="303" t="s">
        <v>154</v>
      </c>
      <c r="C2" s="303"/>
      <c r="D2" s="303"/>
      <c r="E2" s="303"/>
      <c r="F2" s="303"/>
      <c r="G2" s="303"/>
    </row>
    <row r="3" spans="1:7" ht="30" customHeight="1">
      <c r="A3" s="171" t="s">
        <v>155</v>
      </c>
      <c r="B3" s="172" t="s">
        <v>156</v>
      </c>
      <c r="C3" s="294" t="s">
        <v>157</v>
      </c>
      <c r="D3" s="294"/>
      <c r="E3" s="294"/>
      <c r="F3" s="294"/>
      <c r="G3" s="294"/>
    </row>
    <row r="4" spans="1:7" ht="110.25" customHeight="1">
      <c r="A4" s="171">
        <v>1</v>
      </c>
      <c r="B4" s="173" t="s">
        <v>158</v>
      </c>
      <c r="C4" s="174">
        <f>'[2]Расчет'!R16</f>
        <v>1000</v>
      </c>
      <c r="D4" s="306" t="str">
        <f>CurText(C4)</f>
        <v>(одна тысяча) белорусских рублей 00 копеек</v>
      </c>
      <c r="E4" s="306"/>
      <c r="F4" s="306"/>
      <c r="G4" s="307"/>
    </row>
    <row r="5" spans="1:7" ht="84.75" customHeight="1">
      <c r="A5" s="171">
        <v>2</v>
      </c>
      <c r="B5" s="171" t="s">
        <v>159</v>
      </c>
      <c r="C5" s="308" t="s">
        <v>160</v>
      </c>
      <c r="D5" s="308"/>
      <c r="E5" s="308"/>
      <c r="F5" s="308"/>
      <c r="G5" s="308"/>
    </row>
    <row r="6" spans="1:7" ht="25.5" customHeight="1">
      <c r="A6" s="294">
        <v>3</v>
      </c>
      <c r="B6" s="309" t="s">
        <v>161</v>
      </c>
      <c r="C6" s="297" t="s">
        <v>162</v>
      </c>
      <c r="D6" s="292"/>
      <c r="E6" s="292"/>
      <c r="F6" s="175" t="str">
        <f>Переменные!B45</f>
        <v>6 месяцев</v>
      </c>
      <c r="G6" s="176"/>
    </row>
    <row r="7" spans="1:7" ht="87.75" customHeight="1">
      <c r="A7" s="296"/>
      <c r="B7" s="293"/>
      <c r="C7" s="298" t="s">
        <v>163</v>
      </c>
      <c r="D7" s="301"/>
      <c r="E7" s="301"/>
      <c r="F7" s="301"/>
      <c r="G7" s="302"/>
    </row>
    <row r="8" spans="1:7" ht="15.75" customHeight="1">
      <c r="A8" s="294">
        <v>4</v>
      </c>
      <c r="B8" s="297" t="s">
        <v>164</v>
      </c>
      <c r="C8" s="179">
        <f>Переменные!B21</f>
        <v>9.99</v>
      </c>
      <c r="D8" s="292" t="str">
        <f>CurText_Procenty_PPS(C8)</f>
        <v>(девять целых девяносто девять сотых ) процентов годовых.</v>
      </c>
      <c r="E8" s="292"/>
      <c r="F8" s="292"/>
      <c r="G8" s="300"/>
    </row>
    <row r="9" spans="1:7" ht="118.5" customHeight="1">
      <c r="A9" s="295"/>
      <c r="B9" s="298"/>
      <c r="C9" s="298" t="s">
        <v>165</v>
      </c>
      <c r="D9" s="301"/>
      <c r="E9" s="301"/>
      <c r="F9" s="301"/>
      <c r="G9" s="302"/>
    </row>
    <row r="10" spans="1:7" ht="18" customHeight="1">
      <c r="A10" s="295"/>
      <c r="B10" s="298"/>
      <c r="C10" s="298" t="s">
        <v>166</v>
      </c>
      <c r="D10" s="301"/>
      <c r="E10" s="301"/>
      <c r="F10" s="301"/>
      <c r="G10" s="302"/>
    </row>
    <row r="11" spans="1:7" ht="34.5" customHeight="1">
      <c r="A11" s="296"/>
      <c r="B11" s="299"/>
      <c r="C11" s="180">
        <f>'График-рассрочка 6'!E25</f>
        <v>32.47849173698631</v>
      </c>
      <c r="D11" s="303" t="str">
        <f>CurText(C11)</f>
        <v>(тридцать два) белорусских рублей 47 копеек</v>
      </c>
      <c r="E11" s="303"/>
      <c r="F11" s="303"/>
      <c r="G11" s="304"/>
    </row>
    <row r="12" spans="1:7" ht="46.5" customHeight="1">
      <c r="A12" s="171">
        <v>5</v>
      </c>
      <c r="B12" s="171" t="s">
        <v>167</v>
      </c>
      <c r="C12" s="293" t="s">
        <v>168</v>
      </c>
      <c r="D12" s="293"/>
      <c r="E12" s="293"/>
      <c r="F12" s="293"/>
      <c r="G12" s="293"/>
    </row>
    <row r="13" spans="1:7" ht="100.5" customHeight="1">
      <c r="A13" s="171">
        <v>6</v>
      </c>
      <c r="B13" s="171" t="s">
        <v>169</v>
      </c>
      <c r="C13" s="291" t="s">
        <v>170</v>
      </c>
      <c r="D13" s="291"/>
      <c r="E13" s="291"/>
      <c r="F13" s="291"/>
      <c r="G13" s="291"/>
    </row>
    <row r="14" spans="1:7" ht="46.5">
      <c r="A14" s="171">
        <v>7</v>
      </c>
      <c r="B14" s="171" t="s">
        <v>171</v>
      </c>
      <c r="C14" s="291" t="s">
        <v>172</v>
      </c>
      <c r="D14" s="291"/>
      <c r="E14" s="291"/>
      <c r="F14" s="291"/>
      <c r="G14" s="291"/>
    </row>
    <row r="15" spans="1:7" ht="84" customHeight="1">
      <c r="A15" s="171">
        <v>8</v>
      </c>
      <c r="B15" s="171" t="s">
        <v>173</v>
      </c>
      <c r="C15" s="291" t="s">
        <v>174</v>
      </c>
      <c r="D15" s="291"/>
      <c r="E15" s="291"/>
      <c r="F15" s="291"/>
      <c r="G15" s="291"/>
    </row>
    <row r="16" spans="1:7" ht="30.75">
      <c r="A16" s="171">
        <v>9</v>
      </c>
      <c r="B16" s="171" t="s">
        <v>175</v>
      </c>
      <c r="C16" s="291" t="s">
        <v>176</v>
      </c>
      <c r="D16" s="291"/>
      <c r="E16" s="291"/>
      <c r="F16" s="291"/>
      <c r="G16" s="291"/>
    </row>
    <row r="17" spans="1:7" ht="297.75" customHeight="1">
      <c r="A17" s="171">
        <v>10</v>
      </c>
      <c r="B17" s="171" t="s">
        <v>177</v>
      </c>
      <c r="C17" s="291" t="s">
        <v>178</v>
      </c>
      <c r="D17" s="291"/>
      <c r="E17" s="291"/>
      <c r="F17" s="291"/>
      <c r="G17" s="291"/>
    </row>
    <row r="18" spans="1:7" ht="140.25">
      <c r="A18" s="171">
        <v>11</v>
      </c>
      <c r="B18" s="171" t="s">
        <v>179</v>
      </c>
      <c r="C18" s="291" t="s">
        <v>180</v>
      </c>
      <c r="D18" s="291"/>
      <c r="E18" s="291"/>
      <c r="F18" s="291"/>
      <c r="G18" s="291"/>
    </row>
    <row r="19" spans="1:7" ht="78">
      <c r="A19" s="171">
        <v>12</v>
      </c>
      <c r="B19" s="171" t="s">
        <v>181</v>
      </c>
      <c r="C19" s="291" t="s">
        <v>180</v>
      </c>
      <c r="D19" s="291"/>
      <c r="E19" s="291"/>
      <c r="F19" s="291"/>
      <c r="G19" s="291"/>
    </row>
    <row r="20" spans="2:7" ht="18.75" customHeight="1">
      <c r="B20" s="292" t="s">
        <v>182</v>
      </c>
      <c r="C20" s="292"/>
      <c r="D20" s="292"/>
      <c r="E20" s="292"/>
      <c r="F20" s="292"/>
      <c r="G20" s="292"/>
    </row>
    <row r="21" ht="30.75">
      <c r="B21" s="170" t="s">
        <v>183</v>
      </c>
    </row>
    <row r="22" spans="2:3" ht="15">
      <c r="B22" s="177">
        <f ca="1">TODAY()</f>
        <v>44113</v>
      </c>
      <c r="C22" s="178" t="s">
        <v>184</v>
      </c>
    </row>
  </sheetData>
  <sheetProtection password="C64F" sheet="1" objects="1" scenarios="1"/>
  <protectedRanges>
    <protectedRange sqref="F6" name="Диапазон1"/>
  </protectedRanges>
  <mergeCells count="24">
    <mergeCell ref="B1:G1"/>
    <mergeCell ref="B2:G2"/>
    <mergeCell ref="C3:G3"/>
    <mergeCell ref="D4:G4"/>
    <mergeCell ref="C5:G5"/>
    <mergeCell ref="A6:A7"/>
    <mergeCell ref="B6:B7"/>
    <mergeCell ref="C6:E6"/>
    <mergeCell ref="C7:G7"/>
    <mergeCell ref="A8:A11"/>
    <mergeCell ref="B8:B11"/>
    <mergeCell ref="D8:G8"/>
    <mergeCell ref="C9:G9"/>
    <mergeCell ref="C10:G10"/>
    <mergeCell ref="D11:G11"/>
    <mergeCell ref="C18:G18"/>
    <mergeCell ref="C19:G19"/>
    <mergeCell ref="B20:G20"/>
    <mergeCell ref="C12:G12"/>
    <mergeCell ref="C13:G13"/>
    <mergeCell ref="C14:G14"/>
    <mergeCell ref="C15:G15"/>
    <mergeCell ref="C16:G16"/>
    <mergeCell ref="C17:G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1">
    <tabColor rgb="FFFFCCCC"/>
  </sheetPr>
  <dimension ref="A1:J29"/>
  <sheetViews>
    <sheetView zoomScalePageLayoutView="0" workbookViewId="0" topLeftCell="A4">
      <selection activeCell="B4" sqref="B1:B16384"/>
    </sheetView>
  </sheetViews>
  <sheetFormatPr defaultColWidth="9.125" defaultRowHeight="12.75"/>
  <cols>
    <col min="1" max="1" width="25.875" style="142" customWidth="1"/>
    <col min="2" max="2" width="14.375" style="142" hidden="1" customWidth="1"/>
    <col min="3" max="3" width="15.125" style="142" customWidth="1"/>
    <col min="4" max="5" width="11.50390625" style="142" customWidth="1"/>
    <col min="6" max="6" width="14.50390625" style="142" customWidth="1"/>
    <col min="7" max="8" width="9.125" style="142" hidden="1" customWidth="1"/>
    <col min="9" max="9" width="14.625" style="142" hidden="1" customWidth="1"/>
    <col min="10" max="10" width="0.875" style="142" hidden="1" customWidth="1"/>
    <col min="11" max="11" width="9.125" style="142" customWidth="1"/>
    <col min="12" max="16384" width="9.125" style="142" customWidth="1"/>
  </cols>
  <sheetData>
    <row r="1" spans="1:2" ht="13.5" hidden="1">
      <c r="A1" s="142" t="s">
        <v>136</v>
      </c>
      <c r="B1" s="143">
        <f>Переменные!B21</f>
        <v>9.99</v>
      </c>
    </row>
    <row r="2" spans="1:10" ht="13.5" hidden="1">
      <c r="A2" s="11" t="s">
        <v>137</v>
      </c>
      <c r="B2" s="144">
        <f>Переменные!B21</f>
        <v>9.99</v>
      </c>
      <c r="C2" s="145"/>
      <c r="D2" s="145"/>
      <c r="F2" s="146"/>
      <c r="G2" s="146"/>
      <c r="H2" s="146"/>
      <c r="I2" s="147"/>
      <c r="J2" s="148" t="e">
        <f>IF(AND('[1]Расчет'!#REF!=2,'[1]Расчет'!#REF!=1),C2,IF(AND('[1]Расчет'!#REF!=1,'[1]Расчет'!#REF!=1),D2,IF(AND('[1]Расчет'!#REF!=1,'[1]Расчет'!#REF!=2),'[1]Переменные'!#REF!/100,'[1]Переменные'!#REF!/100)))</f>
        <v>#REF!</v>
      </c>
    </row>
    <row r="3" spans="1:10" ht="13.5" hidden="1">
      <c r="A3" s="13" t="s">
        <v>109</v>
      </c>
      <c r="B3" s="14">
        <f ca="1">TODAY()</f>
        <v>44113</v>
      </c>
      <c r="D3" s="149"/>
      <c r="E3" s="146"/>
      <c r="F3" s="146"/>
      <c r="G3" s="146"/>
      <c r="H3" s="146"/>
      <c r="I3" s="147"/>
      <c r="J3" s="147"/>
    </row>
    <row r="4" spans="5:10" ht="13.5">
      <c r="E4" s="146"/>
      <c r="F4" s="146"/>
      <c r="G4" s="146"/>
      <c r="H4" s="146"/>
      <c r="I4" s="147"/>
      <c r="J4" s="147"/>
    </row>
    <row r="5" spans="4:10" ht="13.5">
      <c r="D5" s="150"/>
      <c r="E5" s="151"/>
      <c r="F5" s="151" t="s">
        <v>138</v>
      </c>
      <c r="G5" s="146"/>
      <c r="H5" s="146"/>
      <c r="I5" s="147"/>
      <c r="J5" s="147"/>
    </row>
    <row r="6" spans="4:10" ht="13.5">
      <c r="D6" s="310" t="s">
        <v>139</v>
      </c>
      <c r="E6" s="310"/>
      <c r="F6" s="310"/>
      <c r="G6" s="146"/>
      <c r="H6" s="146"/>
      <c r="I6" s="147"/>
      <c r="J6" s="147"/>
    </row>
    <row r="7" spans="5:10" ht="13.5">
      <c r="E7" s="146"/>
      <c r="F7" s="146"/>
      <c r="G7" s="146"/>
      <c r="H7" s="146"/>
      <c r="I7" s="147"/>
      <c r="J7" s="147"/>
    </row>
    <row r="8" spans="1:10" ht="12.75" customHeight="1">
      <c r="A8" s="152"/>
      <c r="B8" s="311" t="s">
        <v>140</v>
      </c>
      <c r="C8" s="311"/>
      <c r="D8" s="311"/>
      <c r="E8" s="311"/>
      <c r="F8" s="311"/>
      <c r="G8" s="311"/>
      <c r="H8" s="146"/>
      <c r="I8" s="147"/>
      <c r="J8" s="147"/>
    </row>
    <row r="9" spans="1:10" ht="12.75" customHeight="1">
      <c r="A9" s="152"/>
      <c r="B9" s="153"/>
      <c r="C9" s="153"/>
      <c r="D9" s="153"/>
      <c r="E9" s="153"/>
      <c r="F9" s="153"/>
      <c r="G9" s="153"/>
      <c r="H9" s="146"/>
      <c r="I9" s="147"/>
      <c r="J9" s="147"/>
    </row>
    <row r="10" spans="1:10" ht="12.75" customHeight="1">
      <c r="A10" s="154" t="s">
        <v>141</v>
      </c>
      <c r="B10" s="155"/>
      <c r="C10" s="156">
        <f>Расчет!B16</f>
        <v>1000</v>
      </c>
      <c r="D10" s="155" t="s">
        <v>142</v>
      </c>
      <c r="E10" s="155"/>
      <c r="F10" s="155"/>
      <c r="G10" s="153"/>
      <c r="H10" s="146"/>
      <c r="I10" s="147"/>
      <c r="J10" s="147"/>
    </row>
    <row r="11" spans="1:10" ht="12.75" customHeight="1">
      <c r="A11" s="154" t="s">
        <v>111</v>
      </c>
      <c r="B11" s="155"/>
      <c r="C11" s="147" t="str">
        <f>Переменные!B45</f>
        <v>6 месяцев</v>
      </c>
      <c r="D11" s="155"/>
      <c r="E11" s="155"/>
      <c r="F11" s="155"/>
      <c r="G11" s="153"/>
      <c r="H11" s="146"/>
      <c r="I11" s="147"/>
      <c r="J11" s="147"/>
    </row>
    <row r="12" spans="1:10" ht="12.75" customHeight="1">
      <c r="A12" s="312"/>
      <c r="B12" s="312"/>
      <c r="C12" s="312"/>
      <c r="D12" s="155"/>
      <c r="E12" s="155"/>
      <c r="F12" s="155"/>
      <c r="G12" s="153"/>
      <c r="H12" s="146"/>
      <c r="I12" s="147"/>
      <c r="J12" s="147"/>
    </row>
    <row r="13" spans="1:10" ht="15" customHeight="1">
      <c r="A13" s="313" t="s">
        <v>143</v>
      </c>
      <c r="B13" s="157"/>
      <c r="C13" s="157"/>
      <c r="D13" s="155"/>
      <c r="E13" s="155"/>
      <c r="F13" s="155"/>
      <c r="G13" s="153"/>
      <c r="H13" s="146"/>
      <c r="I13" s="147"/>
      <c r="J13" s="147"/>
    </row>
    <row r="14" spans="1:10" ht="15" customHeight="1">
      <c r="A14" s="313"/>
      <c r="B14" s="155"/>
      <c r="C14" s="147">
        <f>B2</f>
        <v>9.99</v>
      </c>
      <c r="D14" s="155" t="s">
        <v>144</v>
      </c>
      <c r="E14" s="155"/>
      <c r="F14" s="155"/>
      <c r="G14" s="153"/>
      <c r="H14" s="146"/>
      <c r="I14" s="147"/>
      <c r="J14" s="147"/>
    </row>
    <row r="15" spans="2:10" ht="14.25" thickBot="1">
      <c r="B15" s="147"/>
      <c r="G15" s="146"/>
      <c r="H15" s="146"/>
      <c r="I15" s="147"/>
      <c r="J15" s="147"/>
    </row>
    <row r="16" spans="1:10" ht="15" customHeight="1">
      <c r="A16" s="314"/>
      <c r="B16" s="316" t="s">
        <v>110</v>
      </c>
      <c r="C16" s="318" t="s">
        <v>145</v>
      </c>
      <c r="D16" s="318" t="s">
        <v>146</v>
      </c>
      <c r="E16" s="318" t="s">
        <v>147</v>
      </c>
      <c r="F16" s="320" t="s">
        <v>148</v>
      </c>
      <c r="G16" s="146"/>
      <c r="H16" s="146"/>
      <c r="I16" s="147"/>
      <c r="J16" s="147"/>
    </row>
    <row r="17" spans="1:10" ht="48.75" customHeight="1" thickBot="1">
      <c r="A17" s="315"/>
      <c r="B17" s="317"/>
      <c r="C17" s="319"/>
      <c r="D17" s="319"/>
      <c r="E17" s="319"/>
      <c r="F17" s="321"/>
      <c r="G17" s="146"/>
      <c r="H17" s="146"/>
      <c r="I17" s="147"/>
      <c r="J17" s="147"/>
    </row>
    <row r="18" spans="1:10" ht="15.75" customHeight="1">
      <c r="A18" s="158" t="s">
        <v>149</v>
      </c>
      <c r="B18" s="159"/>
      <c r="C18" s="160">
        <f>C10</f>
        <v>1000</v>
      </c>
      <c r="D18" s="159"/>
      <c r="E18" s="159"/>
      <c r="F18" s="161"/>
      <c r="G18" s="146"/>
      <c r="H18" s="146"/>
      <c r="I18" s="147"/>
      <c r="J18" s="147"/>
    </row>
    <row r="19" spans="1:10" ht="13.5">
      <c r="A19" s="162">
        <v>1</v>
      </c>
      <c r="B19" s="138">
        <f>IF(MONTH(B3)=12,DATE(YEAR($B$3+365),MONTH($B$3+31*H19),1),DATE(YEAR($B$3),MONTH($B$3+31*H19),1))</f>
        <v>44136</v>
      </c>
      <c r="C19" s="109">
        <f>C18-D19</f>
        <v>833.33</v>
      </c>
      <c r="D19" s="109">
        <f>ROUND($C$18/6,2)</f>
        <v>166.67</v>
      </c>
      <c r="E19" s="109">
        <f>C18*$B$1%*(B19-B3)/365</f>
        <v>6.295068493150685</v>
      </c>
      <c r="F19" s="113">
        <f aca="true" t="shared" si="0" ref="F19:F25">E19+D19</f>
        <v>172.96506849315068</v>
      </c>
      <c r="H19" s="142">
        <v>1</v>
      </c>
      <c r="I19" s="163">
        <f>C19*(B19-B3)</f>
        <v>19166.59</v>
      </c>
      <c r="J19" s="147"/>
    </row>
    <row r="20" spans="1:10" ht="13.5">
      <c r="A20" s="162">
        <f>A19+1</f>
        <v>2</v>
      </c>
      <c r="B20" s="138">
        <f>IF(MONTH(B19)=12,DATE(YEAR(B19+365),MONTH(B19+31),1),DATE(YEAR(B19),MONTH(B19+31),1))</f>
        <v>44166</v>
      </c>
      <c r="C20" s="109">
        <f>C19-D19</f>
        <v>666.6600000000001</v>
      </c>
      <c r="D20" s="109">
        <f>ROUND($C$18/6,2)</f>
        <v>166.67</v>
      </c>
      <c r="E20" s="109">
        <f>C18*$B$1%*20/365+C19*$B$1%*(B20-B19-20)/365</f>
        <v>7.7547853972602745</v>
      </c>
      <c r="F20" s="113">
        <f t="shared" si="0"/>
        <v>174.42478539726025</v>
      </c>
      <c r="H20" s="142">
        <f>H19+1</f>
        <v>2</v>
      </c>
      <c r="I20" s="163">
        <f>C19*(B20-B19)</f>
        <v>24999.9</v>
      </c>
      <c r="J20" s="147"/>
    </row>
    <row r="21" spans="1:10" ht="13.5">
      <c r="A21" s="162">
        <f>A20+1</f>
        <v>3</v>
      </c>
      <c r="B21" s="138">
        <f>IF(MONTH(B20)=12,DATE(YEAR(B20+365),MONTH(B20+31),1),DATE(YEAR(B20),MONTH(B20+31),1))</f>
        <v>44197</v>
      </c>
      <c r="C21" s="109">
        <f>C20-D20</f>
        <v>499.9900000000001</v>
      </c>
      <c r="D21" s="109">
        <f>ROUND($C$18/6,2)</f>
        <v>166.67</v>
      </c>
      <c r="E21" s="109">
        <f>C19*$B$1%*20/365+C20*$B$1%*(B21-B20-20)/365</f>
        <v>6.568728805479452</v>
      </c>
      <c r="F21" s="113">
        <f t="shared" si="0"/>
        <v>173.23872880547944</v>
      </c>
      <c r="H21" s="142">
        <f>H20+1</f>
        <v>3</v>
      </c>
      <c r="I21" s="163">
        <f>C20*(B21-B20)</f>
        <v>20666.460000000003</v>
      </c>
      <c r="J21" s="147"/>
    </row>
    <row r="22" spans="1:10" ht="13.5">
      <c r="A22" s="162">
        <f>A21+1</f>
        <v>4</v>
      </c>
      <c r="B22" s="138">
        <f>IF(MONTH(B21)=12,DATE(YEAR(B21+365),MONTH(B21+31),1),DATE(YEAR(B21),MONTH(B21+31),1))</f>
        <v>44228</v>
      </c>
      <c r="C22" s="109">
        <f>C21-D21</f>
        <v>333.32000000000016</v>
      </c>
      <c r="D22" s="109">
        <f>ROUND($C$18/6,2)</f>
        <v>166.67</v>
      </c>
      <c r="E22" s="109">
        <f>C20*$B$1%*20/365+C21*$B$1%*(B22-B21-20)/365</f>
        <v>5.154590934246576</v>
      </c>
      <c r="F22" s="113">
        <f t="shared" si="0"/>
        <v>171.82459093424657</v>
      </c>
      <c r="H22" s="142">
        <f>H21+1</f>
        <v>4</v>
      </c>
      <c r="I22" s="163">
        <f>C21*(B22-B21)</f>
        <v>15499.690000000004</v>
      </c>
      <c r="J22" s="147"/>
    </row>
    <row r="23" spans="1:10" ht="13.5">
      <c r="A23" s="162">
        <f>A22+1</f>
        <v>5</v>
      </c>
      <c r="B23" s="138">
        <f>IF(MONTH(B22)=12,DATE(YEAR(B22+365),MONTH(B22+31),1),DATE(YEAR(B22),MONTH(B22+31),1))</f>
        <v>44256</v>
      </c>
      <c r="C23" s="109">
        <f>C22-D22</f>
        <v>166.65000000000018</v>
      </c>
      <c r="D23" s="109">
        <f>ROUND($C$18/6,2)</f>
        <v>166.67</v>
      </c>
      <c r="E23" s="109">
        <f>C21*$B$1%*20/365+C22*$B$1%*(B23-B22-20)/365</f>
        <v>3.4667653808219194</v>
      </c>
      <c r="F23" s="113">
        <f t="shared" si="0"/>
        <v>170.1367653808219</v>
      </c>
      <c r="H23" s="142">
        <f>H22+1</f>
        <v>5</v>
      </c>
      <c r="I23" s="163">
        <f>C22*(B23-B22)</f>
        <v>9332.960000000005</v>
      </c>
      <c r="J23" s="147"/>
    </row>
    <row r="24" spans="1:10" ht="13.5">
      <c r="A24" s="162">
        <f>A23+1</f>
        <v>6</v>
      </c>
      <c r="B24" s="138">
        <f>IF(MONTH(B23)=12,DATE(YEAR(B23+365),MONTH(B23+31),1),DATE(YEAR(B23),MONTH(B23+31),1))</f>
        <v>44287</v>
      </c>
      <c r="C24" s="109">
        <f>C23-D24</f>
        <v>0</v>
      </c>
      <c r="D24" s="109">
        <f>C23</f>
        <v>166.65000000000018</v>
      </c>
      <c r="E24" s="109">
        <f>C22*$B$1%*20/365+C23*$B$1%*(B24-B23-20)/365+C23*$B$1%*20/365</f>
        <v>3.2385527260273994</v>
      </c>
      <c r="F24" s="113">
        <f t="shared" si="0"/>
        <v>169.88855272602757</v>
      </c>
      <c r="H24" s="142">
        <f>H23+1</f>
        <v>6</v>
      </c>
      <c r="I24" s="163">
        <f>C23*(B24-B23)</f>
        <v>5166.150000000005</v>
      </c>
      <c r="J24" s="147"/>
    </row>
    <row r="25" spans="1:10" ht="14.25" thickBot="1">
      <c r="A25" s="164" t="s">
        <v>148</v>
      </c>
      <c r="B25" s="165" t="s">
        <v>148</v>
      </c>
      <c r="C25" s="166"/>
      <c r="D25" s="167">
        <f>SUM(D19:D24)</f>
        <v>1000.0000000000001</v>
      </c>
      <c r="E25" s="167">
        <f>SUM(E19:E24)</f>
        <v>32.47849173698631</v>
      </c>
      <c r="F25" s="168">
        <f t="shared" si="0"/>
        <v>1032.4784917369864</v>
      </c>
      <c r="G25" s="147"/>
      <c r="I25" s="163"/>
      <c r="J25" s="147"/>
    </row>
    <row r="27" spans="4:9" ht="13.5">
      <c r="D27" s="169"/>
      <c r="E27" s="169"/>
      <c r="F27" s="169"/>
      <c r="I27" s="163"/>
    </row>
    <row r="28" spans="2:6" ht="13.5">
      <c r="B28" s="149"/>
      <c r="D28" s="169"/>
      <c r="E28" s="169"/>
      <c r="F28" s="169"/>
    </row>
    <row r="29" spans="4:6" ht="13.5">
      <c r="D29" s="169"/>
      <c r="E29" s="169"/>
      <c r="F29" s="169"/>
    </row>
  </sheetData>
  <sheetProtection password="C64F" sheet="1"/>
  <mergeCells count="10">
    <mergeCell ref="D6:F6"/>
    <mergeCell ref="B8:G8"/>
    <mergeCell ref="A12:C12"/>
    <mergeCell ref="A13:A14"/>
    <mergeCell ref="A16:A17"/>
    <mergeCell ref="B16:B17"/>
    <mergeCell ref="C16:C17"/>
    <mergeCell ref="D16:D17"/>
    <mergeCell ref="E16:E17"/>
    <mergeCell ref="F16:F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Texnobank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Внимание</dc:title>
  <dc:subject/>
  <dc:creator>card16</dc:creator>
  <cp:keywords/>
  <dc:description/>
  <cp:lastModifiedBy>Bydom</cp:lastModifiedBy>
  <cp:lastPrinted>2016-12-13T08:51:41Z</cp:lastPrinted>
  <dcterms:created xsi:type="dcterms:W3CDTF">2010-07-21T11:32:02Z</dcterms:created>
  <dcterms:modified xsi:type="dcterms:W3CDTF">2020-10-09T11:55:17Z</dcterms:modified>
  <cp:category/>
  <cp:version/>
  <cp:contentType/>
  <cp:contentStatus/>
</cp:coreProperties>
</file>