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sinskaya\Desktop\Калькуляторы\"/>
    </mc:Choice>
  </mc:AlternateContent>
  <xr:revisionPtr revIDLastSave="0" documentId="13_ncr:1_{04BCC9AD-E451-47C2-90AB-910D11290161}" xr6:coauthVersionLast="36" xr6:coauthVersionMax="36" xr10:uidLastSave="{00000000-0000-0000-0000-000000000000}"/>
  <bookViews>
    <workbookView xWindow="0" yWindow="405" windowWidth="19320" windowHeight="11070" firstSheet="2" activeTab="2" xr2:uid="{00000000-000D-0000-FFFF-FFFF00000000}"/>
  </bookViews>
  <sheets>
    <sheet name="Расчет суммы (корректировка РМ)" sheetId="7" state="hidden" r:id="rId1"/>
    <sheet name="Обучающий материал" sheetId="8" state="hidden" r:id="rId2"/>
    <sheet name="Новый график 2 ставки+отсрочка" sheetId="9" r:id="rId3"/>
  </sheets>
  <definedNames>
    <definedName name="Вторая_ставка">#REF!</definedName>
    <definedName name="Дата_второй_ставки">'Новый график 2 ставки+отсрочка'!$N$3</definedName>
    <definedName name="Дата_выдачи_кредита">'Новый график 2 ставки+отсрочка'!$N$2</definedName>
    <definedName name="Кол_во_Льготных_дней">'Новый график 2 ставки+отсрочка'!$D$8</definedName>
    <definedName name="Льготная_Ставка">'Новый график 2 ставки+отсрочка'!$D$6</definedName>
    <definedName name="Основная_Ставка">'Новый график 2 ставки+отсрочка'!$E$6</definedName>
    <definedName name="Отсрочка_ОД">'Новый график 2 ставки+отсрочка'!$D$7</definedName>
    <definedName name="Первая_Ставка">#REF!</definedName>
    <definedName name="Первая_Ставка_111">#REF!</definedName>
    <definedName name="Платежная_дата">'Новый график 2 ставки+отсрочка'!$N$4</definedName>
    <definedName name="Срок_Кредита">'Новый график 2 ставки+отсрочка'!$D$5</definedName>
    <definedName name="срок_льготной_ставки">#REF!</definedName>
    <definedName name="срок_основной_ставки">#REF!</definedName>
    <definedName name="Сумма_Кредита">'Новый график 2 ставки+отсрочка'!$D$4</definedName>
  </definedNames>
  <calcPr calcId="191029"/>
  <customWorkbookViews>
    <customWorkbookView name="крыапрыв" guid="{E530423B-4632-4892-A295-BBAA97EECFB8}" maximized="1" xWindow="1" yWindow="1" windowWidth="1916" windowHeight="811" activeSheetId="1" showComments="commIndAndComment"/>
    <customWorkbookView name="Zmachinskiy - Личное представление" guid="{DB8F57A7-BBC6-42E9-8D39-3631533EDE2A}" mergeInterval="0" personalView="1" maximized="1" xWindow="1" yWindow="1" windowWidth="1916" windowHeight="811" activeSheetId="4" showComments="commIndAndComment"/>
  </customWorkbookViews>
</workbook>
</file>

<file path=xl/calcChain.xml><?xml version="1.0" encoding="utf-8"?>
<calcChain xmlns="http://schemas.openxmlformats.org/spreadsheetml/2006/main">
  <c r="A132" i="9" l="1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13" i="9" l="1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N2" i="9" l="1"/>
  <c r="L73" i="9" l="1"/>
  <c r="M73" i="9" s="1"/>
  <c r="N4" i="9"/>
  <c r="L131" i="9"/>
  <c r="M131" i="9" s="1"/>
  <c r="L75" i="9"/>
  <c r="M75" i="9" s="1"/>
  <c r="L91" i="9"/>
  <c r="M91" i="9" s="1"/>
  <c r="L92" i="9"/>
  <c r="M92" i="9" s="1"/>
  <c r="L123" i="9"/>
  <c r="M123" i="9" s="1"/>
  <c r="L106" i="9"/>
  <c r="M106" i="9" s="1"/>
  <c r="L108" i="9"/>
  <c r="M108" i="9" s="1"/>
  <c r="L122" i="9"/>
  <c r="M122" i="9" s="1"/>
  <c r="L97" i="9"/>
  <c r="M97" i="9" s="1"/>
  <c r="L76" i="9"/>
  <c r="M76" i="9" s="1"/>
  <c r="L90" i="9"/>
  <c r="M90" i="9" s="1"/>
  <c r="L110" i="9"/>
  <c r="M110" i="9" s="1"/>
  <c r="L124" i="9"/>
  <c r="M124" i="9" s="1"/>
  <c r="L114" i="9"/>
  <c r="M114" i="9" s="1"/>
  <c r="L101" i="9"/>
  <c r="M101" i="9" s="1"/>
  <c r="L113" i="9"/>
  <c r="M113" i="9" s="1"/>
  <c r="L87" i="9"/>
  <c r="M87" i="9" s="1"/>
  <c r="L119" i="9"/>
  <c r="M119" i="9" s="1"/>
  <c r="L126" i="9"/>
  <c r="M126" i="9" s="1"/>
  <c r="L107" i="9"/>
  <c r="M107" i="9" s="1"/>
  <c r="L88" i="9"/>
  <c r="M88" i="9" s="1"/>
  <c r="L95" i="9"/>
  <c r="M95" i="9" s="1"/>
  <c r="L117" i="9"/>
  <c r="M117" i="9" s="1"/>
  <c r="L89" i="9"/>
  <c r="M89" i="9" s="1"/>
  <c r="L74" i="9"/>
  <c r="M74" i="9" s="1"/>
  <c r="L118" i="9"/>
  <c r="M118" i="9" s="1"/>
  <c r="L115" i="9"/>
  <c r="M115" i="9" s="1"/>
  <c r="L132" i="9"/>
  <c r="M132" i="9" s="1"/>
  <c r="L78" i="9"/>
  <c r="M78" i="9" s="1"/>
  <c r="L99" i="9"/>
  <c r="M99" i="9" s="1"/>
  <c r="L98" i="9"/>
  <c r="M98" i="9" s="1"/>
  <c r="L102" i="9"/>
  <c r="M102" i="9" s="1"/>
  <c r="L120" i="9"/>
  <c r="M120" i="9" s="1"/>
  <c r="L109" i="9"/>
  <c r="M109" i="9" s="1"/>
  <c r="L127" i="9"/>
  <c r="M127" i="9" s="1"/>
  <c r="L84" i="9"/>
  <c r="M84" i="9" s="1"/>
  <c r="L85" i="9"/>
  <c r="M85" i="9" s="1"/>
  <c r="L105" i="9"/>
  <c r="M105" i="9" s="1"/>
  <c r="L83" i="9"/>
  <c r="M83" i="9" s="1"/>
  <c r="L82" i="9"/>
  <c r="M82" i="9" s="1"/>
  <c r="L80" i="9"/>
  <c r="M80" i="9" s="1"/>
  <c r="L96" i="9"/>
  <c r="M96" i="9" s="1"/>
  <c r="L128" i="9"/>
  <c r="M128" i="9" s="1"/>
  <c r="L103" i="9"/>
  <c r="M103" i="9" s="1"/>
  <c r="L100" i="9"/>
  <c r="M100" i="9" s="1"/>
  <c r="L93" i="9"/>
  <c r="M93" i="9" s="1"/>
  <c r="L130" i="9"/>
  <c r="M130" i="9" s="1"/>
  <c r="L112" i="9"/>
  <c r="M112" i="9" s="1"/>
  <c r="L116" i="9"/>
  <c r="M116" i="9" s="1"/>
  <c r="L121" i="9"/>
  <c r="M121" i="9" s="1"/>
  <c r="L94" i="9"/>
  <c r="M94" i="9" s="1"/>
  <c r="L111" i="9"/>
  <c r="M111" i="9" s="1"/>
  <c r="L104" i="9"/>
  <c r="M104" i="9" s="1"/>
  <c r="L129" i="9"/>
  <c r="M129" i="9" s="1"/>
  <c r="L125" i="9"/>
  <c r="M125" i="9" s="1"/>
  <c r="L81" i="9"/>
  <c r="M81" i="9" s="1"/>
  <c r="L79" i="9"/>
  <c r="M79" i="9" s="1"/>
  <c r="L86" i="9"/>
  <c r="M86" i="9" s="1"/>
  <c r="L77" i="9"/>
  <c r="M77" i="9" s="1"/>
  <c r="O2" i="9" l="1"/>
  <c r="N3" i="9"/>
  <c r="N132" i="9" s="1"/>
  <c r="N85" i="9" l="1"/>
  <c r="O85" i="9" s="1"/>
  <c r="N130" i="9"/>
  <c r="O130" i="9" s="1"/>
  <c r="N100" i="9"/>
  <c r="O100" i="9" s="1"/>
  <c r="N109" i="9"/>
  <c r="O109" i="9" s="1"/>
  <c r="N93" i="9"/>
  <c r="O93" i="9" s="1"/>
  <c r="N74" i="9"/>
  <c r="O74" i="9" s="1"/>
  <c r="N129" i="9"/>
  <c r="O129" i="9" s="1"/>
  <c r="N102" i="9"/>
  <c r="O102" i="9" s="1"/>
  <c r="N115" i="9"/>
  <c r="O115" i="9" s="1"/>
  <c r="N121" i="9"/>
  <c r="N120" i="9"/>
  <c r="O120" i="9" s="1"/>
  <c r="N116" i="9"/>
  <c r="O116" i="9" s="1"/>
  <c r="N86" i="9"/>
  <c r="O86" i="9" s="1"/>
  <c r="N110" i="9"/>
  <c r="O110" i="9" s="1"/>
  <c r="N104" i="9"/>
  <c r="O104" i="9" s="1"/>
  <c r="N107" i="9"/>
  <c r="O107" i="9" s="1"/>
  <c r="N124" i="9"/>
  <c r="O124" i="9" s="1"/>
  <c r="N101" i="9"/>
  <c r="O101" i="9" s="1"/>
  <c r="N82" i="9"/>
  <c r="O82" i="9" s="1"/>
  <c r="N78" i="9"/>
  <c r="O78" i="9" s="1"/>
  <c r="N91" i="9"/>
  <c r="O91" i="9" s="1"/>
  <c r="N98" i="9"/>
  <c r="O98" i="9" s="1"/>
  <c r="N81" i="9"/>
  <c r="O81" i="9" s="1"/>
  <c r="N7" i="9"/>
  <c r="N8" i="9" s="1"/>
  <c r="N77" i="9"/>
  <c r="N96" i="9"/>
  <c r="N83" i="9"/>
  <c r="N128" i="9"/>
  <c r="N90" i="9"/>
  <c r="N111" i="9"/>
  <c r="N114" i="9"/>
  <c r="N87" i="9"/>
  <c r="N103" i="9"/>
  <c r="N92" i="9"/>
  <c r="N95" i="9"/>
  <c r="N75" i="9"/>
  <c r="N122" i="9"/>
  <c r="N125" i="9"/>
  <c r="N73" i="9"/>
  <c r="N123" i="9"/>
  <c r="N118" i="9"/>
  <c r="N84" i="9"/>
  <c r="N94" i="9"/>
  <c r="N117" i="9"/>
  <c r="N113" i="9"/>
  <c r="N131" i="9"/>
  <c r="N80" i="9"/>
  <c r="N76" i="9"/>
  <c r="N88" i="9"/>
  <c r="N99" i="9"/>
  <c r="N89" i="9"/>
  <c r="N97" i="9"/>
  <c r="N79" i="9"/>
  <c r="N119" i="9"/>
  <c r="N106" i="9"/>
  <c r="N105" i="9"/>
  <c r="N112" i="9"/>
  <c r="N127" i="9"/>
  <c r="N126" i="9"/>
  <c r="N108" i="9"/>
  <c r="O121" i="9"/>
  <c r="O132" i="9"/>
  <c r="O128" i="9" l="1"/>
  <c r="O112" i="9"/>
  <c r="O94" i="9"/>
  <c r="O96" i="9"/>
  <c r="O118" i="9"/>
  <c r="O126" i="9"/>
  <c r="O79" i="9"/>
  <c r="O113" i="9"/>
  <c r="O122" i="9"/>
  <c r="O90" i="9"/>
  <c r="O97" i="9"/>
  <c r="O95" i="9"/>
  <c r="O92" i="9"/>
  <c r="O88" i="9"/>
  <c r="O77" i="9"/>
  <c r="O105" i="9"/>
  <c r="O76" i="9"/>
  <c r="O123" i="9"/>
  <c r="O87" i="9"/>
  <c r="O127" i="9"/>
  <c r="O117" i="9"/>
  <c r="O83" i="9"/>
  <c r="O99" i="9"/>
  <c r="O106" i="9"/>
  <c r="O73" i="9"/>
  <c r="O114" i="9"/>
  <c r="O75" i="9"/>
  <c r="O89" i="9"/>
  <c r="O84" i="9"/>
  <c r="O103" i="9"/>
  <c r="O80" i="9"/>
  <c r="O108" i="9"/>
  <c r="O119" i="9"/>
  <c r="O131" i="9"/>
  <c r="O125" i="9"/>
  <c r="O111" i="9"/>
  <c r="L21" i="9"/>
  <c r="M21" i="9" s="1"/>
  <c r="N21" i="9" s="1"/>
  <c r="L56" i="9"/>
  <c r="M56" i="9" s="1"/>
  <c r="N56" i="9" s="1"/>
  <c r="L32" i="9"/>
  <c r="M32" i="9" s="1"/>
  <c r="N32" i="9" s="1"/>
  <c r="L20" i="9"/>
  <c r="M20" i="9" s="1"/>
  <c r="N20" i="9" s="1"/>
  <c r="L55" i="9"/>
  <c r="M55" i="9" s="1"/>
  <c r="N55" i="9" s="1"/>
  <c r="L31" i="9"/>
  <c r="M31" i="9" s="1"/>
  <c r="N31" i="9" s="1"/>
  <c r="L19" i="9"/>
  <c r="M19" i="9" s="1"/>
  <c r="N19" i="9" s="1"/>
  <c r="L54" i="9"/>
  <c r="M54" i="9" s="1"/>
  <c r="N54" i="9" s="1"/>
  <c r="L30" i="9"/>
  <c r="M30" i="9" s="1"/>
  <c r="N30" i="9" s="1"/>
  <c r="L23" i="9"/>
  <c r="M23" i="9" s="1"/>
  <c r="N23" i="9" s="1"/>
  <c r="L15" i="9"/>
  <c r="M15" i="9" s="1"/>
  <c r="N15" i="9" s="1"/>
  <c r="L66" i="9"/>
  <c r="M66" i="9" s="1"/>
  <c r="N66" i="9" s="1"/>
  <c r="L58" i="9"/>
  <c r="M58" i="9" s="1"/>
  <c r="N58" i="9" s="1"/>
  <c r="L50" i="9"/>
  <c r="M50" i="9" s="1"/>
  <c r="N50" i="9" s="1"/>
  <c r="L42" i="9"/>
  <c r="M42" i="9" s="1"/>
  <c r="N42" i="9" s="1"/>
  <c r="L34" i="9"/>
  <c r="M34" i="9" s="1"/>
  <c r="N34" i="9" s="1"/>
  <c r="L22" i="9"/>
  <c r="M22" i="9" s="1"/>
  <c r="N22" i="9" s="1"/>
  <c r="L14" i="9"/>
  <c r="M14" i="9" s="1"/>
  <c r="N14" i="9" s="1"/>
  <c r="L65" i="9"/>
  <c r="M65" i="9" s="1"/>
  <c r="N65" i="9" s="1"/>
  <c r="L57" i="9"/>
  <c r="M57" i="9" s="1"/>
  <c r="N57" i="9" s="1"/>
  <c r="L49" i="9"/>
  <c r="M49" i="9" s="1"/>
  <c r="N49" i="9" s="1"/>
  <c r="L41" i="9"/>
  <c r="M41" i="9" s="1"/>
  <c r="N41" i="9" s="1"/>
  <c r="L33" i="9"/>
  <c r="M33" i="9" s="1"/>
  <c r="N33" i="9" s="1"/>
  <c r="L64" i="9"/>
  <c r="M64" i="9" s="1"/>
  <c r="N64" i="9" s="1"/>
  <c r="L48" i="9"/>
  <c r="M48" i="9" s="1"/>
  <c r="N48" i="9" s="1"/>
  <c r="L71" i="9"/>
  <c r="M71" i="9" s="1"/>
  <c r="N71" i="9" s="1"/>
  <c r="L39" i="9"/>
  <c r="M39" i="9" s="1"/>
  <c r="N39" i="9" s="1"/>
  <c r="L27" i="9"/>
  <c r="M27" i="9" s="1"/>
  <c r="N27" i="9" s="1"/>
  <c r="L62" i="9"/>
  <c r="M62" i="9" s="1"/>
  <c r="N62" i="9" s="1"/>
  <c r="L38" i="9"/>
  <c r="M38" i="9" s="1"/>
  <c r="N38" i="9" s="1"/>
  <c r="L18" i="9"/>
  <c r="M18" i="9" s="1"/>
  <c r="N18" i="9" s="1"/>
  <c r="L61" i="9"/>
  <c r="M61" i="9" s="1"/>
  <c r="N61" i="9" s="1"/>
  <c r="L45" i="9"/>
  <c r="M45" i="9" s="1"/>
  <c r="N45" i="9" s="1"/>
  <c r="L29" i="9"/>
  <c r="M29" i="9" s="1"/>
  <c r="N29" i="9" s="1"/>
  <c r="L25" i="9"/>
  <c r="M25" i="9" s="1"/>
  <c r="N25" i="9" s="1"/>
  <c r="L17" i="9"/>
  <c r="M17" i="9" s="1"/>
  <c r="N17" i="9" s="1"/>
  <c r="L68" i="9"/>
  <c r="M68" i="9" s="1"/>
  <c r="N68" i="9" s="1"/>
  <c r="L60" i="9"/>
  <c r="M60" i="9" s="1"/>
  <c r="N60" i="9" s="1"/>
  <c r="L52" i="9"/>
  <c r="M52" i="9" s="1"/>
  <c r="N52" i="9" s="1"/>
  <c r="L44" i="9"/>
  <c r="M44" i="9" s="1"/>
  <c r="N44" i="9" s="1"/>
  <c r="L36" i="9"/>
  <c r="M36" i="9" s="1"/>
  <c r="N36" i="9" s="1"/>
  <c r="L28" i="9"/>
  <c r="M28" i="9" s="1"/>
  <c r="N28" i="9" s="1"/>
  <c r="L72" i="9"/>
  <c r="M72" i="9" s="1"/>
  <c r="N72" i="9" s="1"/>
  <c r="L40" i="9"/>
  <c r="M40" i="9" s="1"/>
  <c r="N40" i="9" s="1"/>
  <c r="L13" i="9"/>
  <c r="M13" i="9" s="1"/>
  <c r="N13" i="9" s="1"/>
  <c r="L63" i="9"/>
  <c r="M63" i="9" s="1"/>
  <c r="N63" i="9" s="1"/>
  <c r="L47" i="9"/>
  <c r="M47" i="9" s="1"/>
  <c r="N47" i="9" s="1"/>
  <c r="L70" i="9"/>
  <c r="M70" i="9" s="1"/>
  <c r="N70" i="9" s="1"/>
  <c r="L46" i="9"/>
  <c r="M46" i="9" s="1"/>
  <c r="N46" i="9" s="1"/>
  <c r="L26" i="9"/>
  <c r="M26" i="9" s="1"/>
  <c r="N26" i="9" s="1"/>
  <c r="L69" i="9"/>
  <c r="M69" i="9" s="1"/>
  <c r="N69" i="9" s="1"/>
  <c r="L53" i="9"/>
  <c r="M53" i="9" s="1"/>
  <c r="N53" i="9" s="1"/>
  <c r="L37" i="9"/>
  <c r="M37" i="9" s="1"/>
  <c r="N37" i="9" s="1"/>
  <c r="L24" i="9"/>
  <c r="M24" i="9" s="1"/>
  <c r="N24" i="9" s="1"/>
  <c r="L16" i="9"/>
  <c r="M16" i="9" s="1"/>
  <c r="N16" i="9" s="1"/>
  <c r="L67" i="9"/>
  <c r="M67" i="9" s="1"/>
  <c r="N67" i="9" s="1"/>
  <c r="L59" i="9"/>
  <c r="M59" i="9" s="1"/>
  <c r="N59" i="9" s="1"/>
  <c r="L51" i="9"/>
  <c r="M51" i="9" s="1"/>
  <c r="N51" i="9" s="1"/>
  <c r="L43" i="9"/>
  <c r="M43" i="9" s="1"/>
  <c r="N43" i="9" s="1"/>
  <c r="L35" i="9"/>
  <c r="M35" i="9" s="1"/>
  <c r="N35" i="9" s="1"/>
  <c r="I13" i="9"/>
  <c r="J13" i="9" s="1"/>
  <c r="K13" i="9" l="1"/>
  <c r="W13" i="9"/>
  <c r="O53" i="9"/>
  <c r="O27" i="9"/>
  <c r="O66" i="9"/>
  <c r="O43" i="9"/>
  <c r="O47" i="9"/>
  <c r="O52" i="9"/>
  <c r="O18" i="9"/>
  <c r="O33" i="9"/>
  <c r="O42" i="9"/>
  <c r="O19" i="9"/>
  <c r="O63" i="9"/>
  <c r="O38" i="9"/>
  <c r="O41" i="9"/>
  <c r="O50" i="9"/>
  <c r="O31" i="9"/>
  <c r="O37" i="9"/>
  <c r="O68" i="9"/>
  <c r="O62" i="9"/>
  <c r="O49" i="9"/>
  <c r="O58" i="9"/>
  <c r="O55" i="9"/>
  <c r="O39" i="9"/>
  <c r="O40" i="9"/>
  <c r="O65" i="9"/>
  <c r="O35" i="9"/>
  <c r="O17" i="9"/>
  <c r="O57" i="9"/>
  <c r="O20" i="9"/>
  <c r="O69" i="9"/>
  <c r="O72" i="9"/>
  <c r="O25" i="9"/>
  <c r="O32" i="9"/>
  <c r="O51" i="9"/>
  <c r="O71" i="9"/>
  <c r="O23" i="9"/>
  <c r="O56" i="9"/>
  <c r="O59" i="9"/>
  <c r="O46" i="9"/>
  <c r="O36" i="9"/>
  <c r="O45" i="9"/>
  <c r="O48" i="9"/>
  <c r="O30" i="9"/>
  <c r="O21" i="9"/>
  <c r="O67" i="9"/>
  <c r="O70" i="9"/>
  <c r="O44" i="9"/>
  <c r="O61" i="9"/>
  <c r="O64" i="9"/>
  <c r="O54" i="9"/>
  <c r="C13" i="9"/>
  <c r="I14" i="9" l="1"/>
  <c r="C14" i="9" s="1"/>
  <c r="I15" i="9" s="1"/>
  <c r="J14" i="9"/>
  <c r="W14" i="9" s="1"/>
  <c r="X13" i="9"/>
  <c r="O14" i="9"/>
  <c r="O34" i="9"/>
  <c r="O26" i="9"/>
  <c r="O15" i="9"/>
  <c r="O24" i="9"/>
  <c r="O16" i="9"/>
  <c r="O22" i="9"/>
  <c r="O29" i="9"/>
  <c r="O28" i="9"/>
  <c r="O60" i="9"/>
  <c r="K14" i="9" l="1"/>
  <c r="X14" i="9" s="1"/>
  <c r="C15" i="9"/>
  <c r="K15" i="9"/>
  <c r="J15" i="9" l="1"/>
  <c r="W15" i="9" s="1"/>
  <c r="J16" i="9"/>
  <c r="W16" i="9" s="1"/>
  <c r="X15" i="9"/>
  <c r="I16" i="9"/>
  <c r="K16" i="9" s="1"/>
  <c r="J17" i="9" l="1"/>
  <c r="W17" i="9" s="1"/>
  <c r="X16" i="9"/>
  <c r="C16" i="9"/>
  <c r="I17" i="9" l="1"/>
  <c r="K17" i="9" s="1"/>
  <c r="J18" i="9" s="1"/>
  <c r="W18" i="9" s="1"/>
  <c r="X17" i="9" l="1"/>
  <c r="C17" i="9"/>
  <c r="I18" i="9" s="1"/>
  <c r="K18" i="9" s="1"/>
  <c r="X18" i="9" s="1"/>
  <c r="J19" i="9" l="1"/>
  <c r="W19" i="9" s="1"/>
  <c r="C18" i="9"/>
  <c r="I19" i="9" l="1"/>
  <c r="K19" i="9" s="1"/>
  <c r="J20" i="9" l="1"/>
  <c r="W20" i="9" s="1"/>
  <c r="X19" i="9"/>
  <c r="C19" i="9"/>
  <c r="I20" i="9" l="1"/>
  <c r="K20" i="9" s="1"/>
  <c r="X20" i="9" s="1"/>
  <c r="H5" i="7"/>
  <c r="C20" i="9" l="1"/>
  <c r="I21" i="9" s="1"/>
  <c r="K21" i="9" s="1"/>
  <c r="J21" i="9"/>
  <c r="W21" i="9" s="1"/>
  <c r="J22" i="9" l="1"/>
  <c r="W22" i="9" s="1"/>
  <c r="X21" i="9"/>
  <c r="C21" i="9"/>
  <c r="I5" i="7"/>
  <c r="J5" i="7"/>
  <c r="K5" i="7" s="1"/>
  <c r="C5" i="7" s="1"/>
  <c r="I22" i="9" l="1"/>
  <c r="K22" i="9" s="1"/>
  <c r="X22" i="9" s="1"/>
  <c r="C6" i="7"/>
  <c r="C11" i="7" s="1"/>
  <c r="C7" i="7"/>
  <c r="C22" i="9" l="1"/>
  <c r="I23" i="9" s="1"/>
  <c r="K23" i="9" s="1"/>
  <c r="J23" i="9"/>
  <c r="W23" i="9" s="1"/>
  <c r="J24" i="9" l="1"/>
  <c r="W24" i="9" s="1"/>
  <c r="X23" i="9"/>
  <c r="C23" i="9"/>
  <c r="I24" i="9" s="1"/>
  <c r="B2" i="7"/>
  <c r="K24" i="9" l="1"/>
  <c r="X24" i="9" s="1"/>
  <c r="C24" i="9"/>
  <c r="I25" i="9" s="1"/>
  <c r="K25" i="9" s="1"/>
  <c r="C13" i="7"/>
  <c r="J26" i="9" l="1"/>
  <c r="W26" i="9" s="1"/>
  <c r="X25" i="9"/>
  <c r="J25" i="9"/>
  <c r="W25" i="9" s="1"/>
  <c r="C25" i="9"/>
  <c r="I26" i="9" s="1"/>
  <c r="K26" i="9" s="1"/>
  <c r="J27" i="9" l="1"/>
  <c r="W27" i="9" s="1"/>
  <c r="X26" i="9"/>
  <c r="C26" i="9"/>
  <c r="C10" i="7"/>
  <c r="C12" i="7" s="1"/>
  <c r="C15" i="7" s="1"/>
  <c r="I27" i="9" l="1"/>
  <c r="K27" i="9" s="1"/>
  <c r="J28" i="9" l="1"/>
  <c r="W28" i="9" s="1"/>
  <c r="X27" i="9"/>
  <c r="C27" i="9"/>
  <c r="I28" i="9" s="1"/>
  <c r="K28" i="9" s="1"/>
  <c r="J29" i="9" l="1"/>
  <c r="W29" i="9" s="1"/>
  <c r="X28" i="9"/>
  <c r="C28" i="9"/>
  <c r="I29" i="9" s="1"/>
  <c r="K29" i="9" s="1"/>
  <c r="J30" i="9" l="1"/>
  <c r="W30" i="9" s="1"/>
  <c r="X29" i="9"/>
  <c r="C29" i="9"/>
  <c r="I30" i="9" s="1"/>
  <c r="K30" i="9" s="1"/>
  <c r="X30" i="9" s="1"/>
  <c r="C30" i="9" l="1"/>
  <c r="I31" i="9" s="1"/>
  <c r="J31" i="9"/>
  <c r="W31" i="9" s="1"/>
  <c r="K31" i="9" l="1"/>
  <c r="C31" i="9"/>
  <c r="J32" i="9" l="1"/>
  <c r="W32" i="9" s="1"/>
  <c r="X31" i="9"/>
  <c r="I32" i="9"/>
  <c r="K32" i="9" l="1"/>
  <c r="X32" i="9" s="1"/>
  <c r="C32" i="9"/>
  <c r="I33" i="9" s="1"/>
  <c r="K33" i="9" l="1"/>
  <c r="C33" i="9"/>
  <c r="I34" i="9" s="1"/>
  <c r="J33" i="9"/>
  <c r="W33" i="9" s="1"/>
  <c r="J34" i="9" l="1"/>
  <c r="W34" i="9" s="1"/>
  <c r="X33" i="9"/>
  <c r="K34" i="9"/>
  <c r="C34" i="9"/>
  <c r="I35" i="9" s="1"/>
  <c r="J35" i="9" l="1"/>
  <c r="W35" i="9" s="1"/>
  <c r="X34" i="9"/>
  <c r="K35" i="9"/>
  <c r="C35" i="9"/>
  <c r="I36" i="9" s="1"/>
  <c r="J36" i="9" l="1"/>
  <c r="W36" i="9" s="1"/>
  <c r="X35" i="9"/>
  <c r="K36" i="9"/>
  <c r="C36" i="9"/>
  <c r="I37" i="9" s="1"/>
  <c r="J37" i="9" l="1"/>
  <c r="W37" i="9" s="1"/>
  <c r="X36" i="9"/>
  <c r="K37" i="9"/>
  <c r="C37" i="9"/>
  <c r="I38" i="9" s="1"/>
  <c r="J38" i="9" l="1"/>
  <c r="W38" i="9" s="1"/>
  <c r="X37" i="9"/>
  <c r="K38" i="9"/>
  <c r="C38" i="9"/>
  <c r="I39" i="9" s="1"/>
  <c r="J39" i="9" l="1"/>
  <c r="W39" i="9" s="1"/>
  <c r="X38" i="9"/>
  <c r="K39" i="9"/>
  <c r="C39" i="9"/>
  <c r="I40" i="9" s="1"/>
  <c r="J40" i="9" l="1"/>
  <c r="W40" i="9" s="1"/>
  <c r="X39" i="9"/>
  <c r="K40" i="9"/>
  <c r="C40" i="9"/>
  <c r="I41" i="9" s="1"/>
  <c r="J41" i="9" l="1"/>
  <c r="W41" i="9" s="1"/>
  <c r="X40" i="9"/>
  <c r="K41" i="9"/>
  <c r="C41" i="9"/>
  <c r="I42" i="9" s="1"/>
  <c r="J42" i="9" l="1"/>
  <c r="W42" i="9" s="1"/>
  <c r="X41" i="9"/>
  <c r="K42" i="9"/>
  <c r="C42" i="9"/>
  <c r="I43" i="9" s="1"/>
  <c r="J43" i="9" l="1"/>
  <c r="W43" i="9" s="1"/>
  <c r="X42" i="9"/>
  <c r="K43" i="9"/>
  <c r="C43" i="9"/>
  <c r="I44" i="9" s="1"/>
  <c r="J44" i="9" l="1"/>
  <c r="W44" i="9" s="1"/>
  <c r="X43" i="9"/>
  <c r="K44" i="9"/>
  <c r="C44" i="9"/>
  <c r="I45" i="9" s="1"/>
  <c r="J45" i="9" l="1"/>
  <c r="W45" i="9" s="1"/>
  <c r="X44" i="9"/>
  <c r="K45" i="9"/>
  <c r="C45" i="9"/>
  <c r="I46" i="9" s="1"/>
  <c r="J46" i="9" l="1"/>
  <c r="W46" i="9" s="1"/>
  <c r="X45" i="9"/>
  <c r="K46" i="9"/>
  <c r="X46" i="9" s="1"/>
  <c r="C46" i="9"/>
  <c r="I47" i="9" s="1"/>
  <c r="J47" i="9" l="1"/>
  <c r="W47" i="9" s="1"/>
  <c r="K47" i="9"/>
  <c r="C47" i="9"/>
  <c r="J48" i="9" l="1"/>
  <c r="W48" i="9" s="1"/>
  <c r="X47" i="9"/>
  <c r="I48" i="9"/>
  <c r="K48" i="9" l="1"/>
  <c r="X48" i="9" s="1"/>
  <c r="C48" i="9"/>
  <c r="I49" i="9" l="1"/>
  <c r="J49" i="9"/>
  <c r="W49" i="9" s="1"/>
  <c r="K49" i="9" l="1"/>
  <c r="C49" i="9"/>
  <c r="J50" i="9" l="1"/>
  <c r="W50" i="9" s="1"/>
  <c r="X49" i="9"/>
  <c r="I50" i="9"/>
  <c r="K50" i="9" l="1"/>
  <c r="X50" i="9" s="1"/>
  <c r="C50" i="9"/>
  <c r="I51" i="9" l="1"/>
  <c r="J51" i="9"/>
  <c r="W51" i="9" s="1"/>
  <c r="K51" i="9" l="1"/>
  <c r="C51" i="9"/>
  <c r="J52" i="9" l="1"/>
  <c r="W52" i="9" s="1"/>
  <c r="X51" i="9"/>
  <c r="I52" i="9"/>
  <c r="K52" i="9" l="1"/>
  <c r="X52" i="9" s="1"/>
  <c r="C52" i="9"/>
  <c r="I53" i="9" l="1"/>
  <c r="J53" i="9"/>
  <c r="W53" i="9" s="1"/>
  <c r="K53" i="9" l="1"/>
  <c r="C53" i="9"/>
  <c r="J54" i="9" l="1"/>
  <c r="W54" i="9" s="1"/>
  <c r="X53" i="9"/>
  <c r="I54" i="9"/>
  <c r="K54" i="9" l="1"/>
  <c r="X54" i="9" s="1"/>
  <c r="C54" i="9"/>
  <c r="I55" i="9" l="1"/>
  <c r="J55" i="9"/>
  <c r="W55" i="9" s="1"/>
  <c r="K55" i="9" l="1"/>
  <c r="C55" i="9"/>
  <c r="J56" i="9" l="1"/>
  <c r="W56" i="9" s="1"/>
  <c r="X55" i="9"/>
  <c r="I56" i="9"/>
  <c r="K56" i="9" l="1"/>
  <c r="X56" i="9" s="1"/>
  <c r="C56" i="9"/>
  <c r="I57" i="9" l="1"/>
  <c r="J57" i="9"/>
  <c r="W57" i="9" s="1"/>
  <c r="K57" i="9" l="1"/>
  <c r="C57" i="9"/>
  <c r="J58" i="9" l="1"/>
  <c r="W58" i="9" s="1"/>
  <c r="X57" i="9"/>
  <c r="I58" i="9"/>
  <c r="K58" i="9" l="1"/>
  <c r="X58" i="9" s="1"/>
  <c r="C58" i="9"/>
  <c r="I59" i="9" l="1"/>
  <c r="J59" i="9"/>
  <c r="W59" i="9" s="1"/>
  <c r="K59" i="9" l="1"/>
  <c r="C59" i="9"/>
  <c r="J60" i="9" l="1"/>
  <c r="W60" i="9" s="1"/>
  <c r="X59" i="9"/>
  <c r="I60" i="9"/>
  <c r="K60" i="9" l="1"/>
  <c r="X60" i="9" s="1"/>
  <c r="C60" i="9"/>
  <c r="I61" i="9" l="1"/>
  <c r="J61" i="9"/>
  <c r="W61" i="9" s="1"/>
  <c r="K61" i="9" l="1"/>
  <c r="C61" i="9"/>
  <c r="J62" i="9" l="1"/>
  <c r="W62" i="9" s="1"/>
  <c r="X61" i="9"/>
  <c r="I62" i="9"/>
  <c r="K62" i="9" l="1"/>
  <c r="X62" i="9" s="1"/>
  <c r="C62" i="9"/>
  <c r="I63" i="9" l="1"/>
  <c r="C63" i="9" s="1"/>
  <c r="J63" i="9"/>
  <c r="W63" i="9" s="1"/>
  <c r="K63" i="9" l="1"/>
  <c r="J64" i="9" l="1"/>
  <c r="W64" i="9" s="1"/>
  <c r="X63" i="9"/>
  <c r="I64" i="9"/>
  <c r="C64" i="9" s="1"/>
  <c r="K64" i="9" l="1"/>
  <c r="X64" i="9" s="1"/>
  <c r="I65" i="9" l="1"/>
  <c r="C65" i="9" s="1"/>
  <c r="J65" i="9"/>
  <c r="W65" i="9" s="1"/>
  <c r="K65" i="9" l="1"/>
  <c r="J66" i="9" l="1"/>
  <c r="W66" i="9" s="1"/>
  <c r="X65" i="9"/>
  <c r="I66" i="9"/>
  <c r="C66" i="9" s="1"/>
  <c r="K66" i="9" l="1"/>
  <c r="X66" i="9" s="1"/>
  <c r="I67" i="9" l="1"/>
  <c r="C67" i="9" s="1"/>
  <c r="J67" i="9"/>
  <c r="W67" i="9" s="1"/>
  <c r="K67" i="9" l="1"/>
  <c r="J68" i="9" l="1"/>
  <c r="W68" i="9" s="1"/>
  <c r="X67" i="9"/>
  <c r="I68" i="9"/>
  <c r="C68" i="9" s="1"/>
  <c r="K68" i="9" l="1"/>
  <c r="X68" i="9" s="1"/>
  <c r="I69" i="9" l="1"/>
  <c r="C69" i="9" s="1"/>
  <c r="J69" i="9"/>
  <c r="W69" i="9" s="1"/>
  <c r="K69" i="9" l="1"/>
  <c r="J70" i="9" l="1"/>
  <c r="W70" i="9" s="1"/>
  <c r="X69" i="9"/>
  <c r="I70" i="9"/>
  <c r="C70" i="9" s="1"/>
  <c r="K70" i="9" l="1"/>
  <c r="X70" i="9" s="1"/>
  <c r="I71" i="9" l="1"/>
  <c r="C71" i="9" s="1"/>
  <c r="J71" i="9"/>
  <c r="W71" i="9" s="1"/>
  <c r="K71" i="9" l="1"/>
  <c r="J72" i="9" l="1"/>
  <c r="W72" i="9" s="1"/>
  <c r="X71" i="9"/>
  <c r="I72" i="9"/>
  <c r="C72" i="9" l="1"/>
  <c r="I73" i="9" s="1"/>
  <c r="K72" i="9"/>
  <c r="J73" i="9" l="1"/>
  <c r="W73" i="9" s="1"/>
  <c r="X72" i="9"/>
  <c r="K73" i="9"/>
  <c r="C73" i="9"/>
  <c r="I74" i="9" s="1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N5" i="9"/>
  <c r="S24" i="9" s="1"/>
  <c r="S72" i="9" l="1"/>
  <c r="S41" i="9"/>
  <c r="S65" i="9"/>
  <c r="S64" i="9"/>
  <c r="J74" i="9"/>
  <c r="W74" i="9" s="1"/>
  <c r="X73" i="9"/>
  <c r="S49" i="9"/>
  <c r="S15" i="9"/>
  <c r="S71" i="9"/>
  <c r="S48" i="9"/>
  <c r="S14" i="9"/>
  <c r="S40" i="9"/>
  <c r="S63" i="9"/>
  <c r="S57" i="9"/>
  <c r="S32" i="9"/>
  <c r="S73" i="9"/>
  <c r="S25" i="9"/>
  <c r="S33" i="9"/>
  <c r="S56" i="9"/>
  <c r="S55" i="9"/>
  <c r="P14" i="9"/>
  <c r="P82" i="9"/>
  <c r="P104" i="9"/>
  <c r="P102" i="9"/>
  <c r="P110" i="9"/>
  <c r="P74" i="9"/>
  <c r="P101" i="9"/>
  <c r="P107" i="9"/>
  <c r="P86" i="9"/>
  <c r="P81" i="9"/>
  <c r="P100" i="9"/>
  <c r="P116" i="9"/>
  <c r="P78" i="9"/>
  <c r="P85" i="9"/>
  <c r="P91" i="9"/>
  <c r="P98" i="9"/>
  <c r="P132" i="9"/>
  <c r="P120" i="9"/>
  <c r="P121" i="9"/>
  <c r="P124" i="9"/>
  <c r="P130" i="9"/>
  <c r="P129" i="9"/>
  <c r="P115" i="9"/>
  <c r="P93" i="9"/>
  <c r="P109" i="9"/>
  <c r="P128" i="9"/>
  <c r="P118" i="9"/>
  <c r="P122" i="9"/>
  <c r="P117" i="9"/>
  <c r="P73" i="9"/>
  <c r="P119" i="9"/>
  <c r="P79" i="9"/>
  <c r="P92" i="9"/>
  <c r="P76" i="9"/>
  <c r="P84" i="9"/>
  <c r="P83" i="9"/>
  <c r="P94" i="9"/>
  <c r="P87" i="9"/>
  <c r="P77" i="9"/>
  <c r="P125" i="9"/>
  <c r="P131" i="9"/>
  <c r="P112" i="9"/>
  <c r="P126" i="9"/>
  <c r="P90" i="9"/>
  <c r="P88" i="9"/>
  <c r="P123" i="9"/>
  <c r="P114" i="9"/>
  <c r="P103" i="9"/>
  <c r="P99" i="9"/>
  <c r="P97" i="9"/>
  <c r="P75" i="9"/>
  <c r="P80" i="9"/>
  <c r="P113" i="9"/>
  <c r="P95" i="9"/>
  <c r="P105" i="9"/>
  <c r="P106" i="9"/>
  <c r="P111" i="9"/>
  <c r="P96" i="9"/>
  <c r="P127" i="9"/>
  <c r="P89" i="9"/>
  <c r="P108" i="9"/>
  <c r="K74" i="9"/>
  <c r="C74" i="9"/>
  <c r="I75" i="9" s="1"/>
  <c r="S47" i="9"/>
  <c r="S23" i="9"/>
  <c r="S68" i="9"/>
  <c r="S52" i="9"/>
  <c r="S28" i="9"/>
  <c r="S67" i="9"/>
  <c r="S51" i="9"/>
  <c r="S43" i="9"/>
  <c r="S27" i="9"/>
  <c r="S17" i="9"/>
  <c r="S60" i="9"/>
  <c r="S44" i="9"/>
  <c r="S36" i="9"/>
  <c r="S18" i="9"/>
  <c r="S59" i="9"/>
  <c r="S35" i="9"/>
  <c r="S66" i="9"/>
  <c r="S58" i="9"/>
  <c r="S50" i="9"/>
  <c r="S42" i="9"/>
  <c r="S34" i="9"/>
  <c r="S26" i="9"/>
  <c r="S16" i="9"/>
  <c r="S39" i="9"/>
  <c r="S31" i="9"/>
  <c r="S70" i="9"/>
  <c r="S62" i="9"/>
  <c r="S54" i="9"/>
  <c r="S46" i="9"/>
  <c r="S38" i="9"/>
  <c r="S30" i="9"/>
  <c r="S22" i="9"/>
  <c r="S69" i="9"/>
  <c r="S61" i="9"/>
  <c r="S53" i="9"/>
  <c r="S45" i="9"/>
  <c r="S37" i="9"/>
  <c r="S29" i="9"/>
  <c r="S21" i="9"/>
  <c r="S20" i="9"/>
  <c r="P52" i="9"/>
  <c r="U52" i="9" s="1"/>
  <c r="P25" i="9"/>
  <c r="P71" i="9"/>
  <c r="U71" i="9" s="1"/>
  <c r="P50" i="9"/>
  <c r="T50" i="9" s="1"/>
  <c r="Q50" i="9" s="1"/>
  <c r="D50" i="9" s="1"/>
  <c r="E50" i="9" s="1"/>
  <c r="P44" i="9"/>
  <c r="R44" i="9" s="1"/>
  <c r="P40" i="9"/>
  <c r="T40" i="9" s="1"/>
  <c r="Q40" i="9" s="1"/>
  <c r="D40" i="9" s="1"/>
  <c r="E40" i="9" s="1"/>
  <c r="P36" i="9"/>
  <c r="U36" i="9" s="1"/>
  <c r="P19" i="9"/>
  <c r="R19" i="9" s="1"/>
  <c r="P17" i="9"/>
  <c r="T17" i="9" s="1"/>
  <c r="Q17" i="9" s="1"/>
  <c r="D17" i="9" s="1"/>
  <c r="E17" i="9" s="1"/>
  <c r="P62" i="9"/>
  <c r="U62" i="9" s="1"/>
  <c r="P30" i="9"/>
  <c r="T30" i="9" s="1"/>
  <c r="Q30" i="9" s="1"/>
  <c r="D30" i="9" s="1"/>
  <c r="E30" i="9" s="1"/>
  <c r="P18" i="9"/>
  <c r="R18" i="9" s="1"/>
  <c r="P49" i="9"/>
  <c r="P23" i="9"/>
  <c r="R23" i="9" s="1"/>
  <c r="P66" i="9"/>
  <c r="U66" i="9" s="1"/>
  <c r="P63" i="9"/>
  <c r="U63" i="9" s="1"/>
  <c r="P31" i="9"/>
  <c r="U31" i="9" s="1"/>
  <c r="P21" i="9"/>
  <c r="T21" i="9" s="1"/>
  <c r="Q21" i="9" s="1"/>
  <c r="D21" i="9" s="1"/>
  <c r="E21" i="9" s="1"/>
  <c r="P61" i="9"/>
  <c r="T61" i="9" s="1"/>
  <c r="Q61" i="9" s="1"/>
  <c r="D61" i="9" s="1"/>
  <c r="E61" i="9" s="1"/>
  <c r="P33" i="9"/>
  <c r="T33" i="9" s="1"/>
  <c r="Q33" i="9" s="1"/>
  <c r="D33" i="9" s="1"/>
  <c r="E33" i="9" s="1"/>
  <c r="P58" i="9"/>
  <c r="T58" i="9" s="1"/>
  <c r="Q58" i="9" s="1"/>
  <c r="D58" i="9" s="1"/>
  <c r="E58" i="9" s="1"/>
  <c r="P65" i="9"/>
  <c r="P20" i="9"/>
  <c r="P32" i="9"/>
  <c r="P56" i="9"/>
  <c r="U56" i="9" s="1"/>
  <c r="P64" i="9"/>
  <c r="R64" i="9" s="1"/>
  <c r="P43" i="9"/>
  <c r="U43" i="9" s="1"/>
  <c r="P38" i="9"/>
  <c r="T38" i="9" s="1"/>
  <c r="Q38" i="9" s="1"/>
  <c r="D38" i="9" s="1"/>
  <c r="E38" i="9" s="1"/>
  <c r="P37" i="9"/>
  <c r="T37" i="9" s="1"/>
  <c r="Q37" i="9" s="1"/>
  <c r="D37" i="9" s="1"/>
  <c r="E37" i="9" s="1"/>
  <c r="P45" i="9"/>
  <c r="T45" i="9" s="1"/>
  <c r="Q45" i="9" s="1"/>
  <c r="D45" i="9" s="1"/>
  <c r="E45" i="9" s="1"/>
  <c r="P67" i="9"/>
  <c r="U67" i="9" s="1"/>
  <c r="P42" i="9"/>
  <c r="R42" i="9" s="1"/>
  <c r="P41" i="9"/>
  <c r="T41" i="9" s="1"/>
  <c r="Q41" i="9" s="1"/>
  <c r="D41" i="9" s="1"/>
  <c r="E41" i="9" s="1"/>
  <c r="P55" i="9"/>
  <c r="U55" i="9" s="1"/>
  <c r="P35" i="9"/>
  <c r="U35" i="9" s="1"/>
  <c r="P51" i="9"/>
  <c r="U51" i="9" s="1"/>
  <c r="P48" i="9"/>
  <c r="P53" i="9"/>
  <c r="T53" i="9" s="1"/>
  <c r="Q53" i="9" s="1"/>
  <c r="D53" i="9" s="1"/>
  <c r="E53" i="9" s="1"/>
  <c r="P47" i="9"/>
  <c r="U47" i="9" s="1"/>
  <c r="P68" i="9"/>
  <c r="U68" i="9" s="1"/>
  <c r="P69" i="9"/>
  <c r="T69" i="9" s="1"/>
  <c r="Q69" i="9" s="1"/>
  <c r="D69" i="9" s="1"/>
  <c r="E69" i="9" s="1"/>
  <c r="P59" i="9"/>
  <c r="U59" i="9" s="1"/>
  <c r="P70" i="9"/>
  <c r="T70" i="9" s="1"/>
  <c r="Q70" i="9" s="1"/>
  <c r="D70" i="9" s="1"/>
  <c r="E70" i="9" s="1"/>
  <c r="P54" i="9"/>
  <c r="U54" i="9" s="1"/>
  <c r="P39" i="9"/>
  <c r="U39" i="9" s="1"/>
  <c r="P72" i="9"/>
  <c r="U72" i="9" s="1"/>
  <c r="P27" i="9"/>
  <c r="R27" i="9" s="1"/>
  <c r="P46" i="9"/>
  <c r="T46" i="9" s="1"/>
  <c r="Q46" i="9" s="1"/>
  <c r="D46" i="9" s="1"/>
  <c r="E46" i="9" s="1"/>
  <c r="P57" i="9"/>
  <c r="P60" i="9"/>
  <c r="R60" i="9" s="1"/>
  <c r="P34" i="9"/>
  <c r="U34" i="9" s="1"/>
  <c r="P22" i="9"/>
  <c r="R22" i="9" s="1"/>
  <c r="P15" i="9"/>
  <c r="P29" i="9"/>
  <c r="T29" i="9" s="1"/>
  <c r="Q29" i="9" s="1"/>
  <c r="D29" i="9" s="1"/>
  <c r="E29" i="9" s="1"/>
  <c r="P24" i="9"/>
  <c r="R24" i="9" s="1"/>
  <c r="P28" i="9"/>
  <c r="P16" i="9"/>
  <c r="U16" i="9" s="1"/>
  <c r="P26" i="9"/>
  <c r="T26" i="9" s="1"/>
  <c r="Q26" i="9" s="1"/>
  <c r="D26" i="9" s="1"/>
  <c r="E26" i="9" s="1"/>
  <c r="S19" i="9"/>
  <c r="O13" i="9"/>
  <c r="T62" i="9" l="1"/>
  <c r="Q62" i="9" s="1"/>
  <c r="D62" i="9" s="1"/>
  <c r="E62" i="9" s="1"/>
  <c r="J75" i="9"/>
  <c r="W75" i="9" s="1"/>
  <c r="X74" i="9"/>
  <c r="R74" i="9"/>
  <c r="T74" i="9"/>
  <c r="Q74" i="9" s="1"/>
  <c r="D74" i="9" s="1"/>
  <c r="E74" i="9" s="1"/>
  <c r="S74" i="9"/>
  <c r="U74" i="9"/>
  <c r="U73" i="9"/>
  <c r="T73" i="9"/>
  <c r="Q73" i="9" s="1"/>
  <c r="D73" i="9" s="1"/>
  <c r="E73" i="9" s="1"/>
  <c r="R73" i="9"/>
  <c r="K75" i="9"/>
  <c r="C75" i="9"/>
  <c r="I76" i="9" s="1"/>
  <c r="T54" i="9"/>
  <c r="Q54" i="9" s="1"/>
  <c r="D54" i="9" s="1"/>
  <c r="E54" i="9" s="1"/>
  <c r="R54" i="9"/>
  <c r="U46" i="9"/>
  <c r="R46" i="9"/>
  <c r="T22" i="9"/>
  <c r="Q22" i="9" s="1"/>
  <c r="D22" i="9" s="1"/>
  <c r="E22" i="9" s="1"/>
  <c r="U22" i="9"/>
  <c r="T34" i="9"/>
  <c r="Q34" i="9" s="1"/>
  <c r="D34" i="9" s="1"/>
  <c r="E34" i="9" s="1"/>
  <c r="R16" i="9"/>
  <c r="R62" i="9"/>
  <c r="T18" i="9"/>
  <c r="Q18" i="9" s="1"/>
  <c r="D18" i="9" s="1"/>
  <c r="E18" i="9" s="1"/>
  <c r="R50" i="9"/>
  <c r="R70" i="9"/>
  <c r="R30" i="9"/>
  <c r="U70" i="9"/>
  <c r="U42" i="9"/>
  <c r="T42" i="9"/>
  <c r="Q42" i="9" s="1"/>
  <c r="D42" i="9" s="1"/>
  <c r="E42" i="9" s="1"/>
  <c r="T36" i="9"/>
  <c r="Q36" i="9" s="1"/>
  <c r="D36" i="9" s="1"/>
  <c r="E36" i="9" s="1"/>
  <c r="R26" i="9"/>
  <c r="U30" i="9"/>
  <c r="U50" i="9"/>
  <c r="T16" i="9"/>
  <c r="R43" i="9"/>
  <c r="R66" i="9"/>
  <c r="T66" i="9"/>
  <c r="Q66" i="9" s="1"/>
  <c r="D66" i="9" s="1"/>
  <c r="E66" i="9" s="1"/>
  <c r="R38" i="9"/>
  <c r="U38" i="9"/>
  <c r="R58" i="9"/>
  <c r="T15" i="9"/>
  <c r="R15" i="9"/>
  <c r="U15" i="9"/>
  <c r="U58" i="9"/>
  <c r="T47" i="9"/>
  <c r="Q47" i="9" s="1"/>
  <c r="D47" i="9" s="1"/>
  <c r="E47" i="9" s="1"/>
  <c r="R52" i="9"/>
  <c r="T23" i="9"/>
  <c r="Q23" i="9" s="1"/>
  <c r="D23" i="9" s="1"/>
  <c r="E23" i="9" s="1"/>
  <c r="U26" i="9"/>
  <c r="R59" i="9"/>
  <c r="R36" i="9"/>
  <c r="R34" i="9"/>
  <c r="T39" i="9"/>
  <c r="Q39" i="9" s="1"/>
  <c r="D39" i="9" s="1"/>
  <c r="E39" i="9" s="1"/>
  <c r="T71" i="9"/>
  <c r="Q71" i="9" s="1"/>
  <c r="D71" i="9" s="1"/>
  <c r="E71" i="9" s="1"/>
  <c r="T56" i="9"/>
  <c r="Q56" i="9" s="1"/>
  <c r="D56" i="9" s="1"/>
  <c r="E56" i="9" s="1"/>
  <c r="U18" i="9"/>
  <c r="R35" i="9"/>
  <c r="T43" i="9"/>
  <c r="Q43" i="9" s="1"/>
  <c r="D43" i="9" s="1"/>
  <c r="E43" i="9" s="1"/>
  <c r="R63" i="9"/>
  <c r="R71" i="9"/>
  <c r="R14" i="9"/>
  <c r="T14" i="9"/>
  <c r="U14" i="9"/>
  <c r="T19" i="9"/>
  <c r="Q19" i="9" s="1"/>
  <c r="D19" i="9" s="1"/>
  <c r="E19" i="9" s="1"/>
  <c r="R47" i="9"/>
  <c r="T52" i="9"/>
  <c r="Q52" i="9" s="1"/>
  <c r="D52" i="9" s="1"/>
  <c r="E52" i="9" s="1"/>
  <c r="U27" i="9"/>
  <c r="U19" i="9"/>
  <c r="T28" i="9"/>
  <c r="Q28" i="9" s="1"/>
  <c r="D28" i="9" s="1"/>
  <c r="E28" i="9" s="1"/>
  <c r="U28" i="9"/>
  <c r="T31" i="9"/>
  <c r="Q31" i="9" s="1"/>
  <c r="D31" i="9" s="1"/>
  <c r="E31" i="9" s="1"/>
  <c r="U65" i="9"/>
  <c r="R65" i="9"/>
  <c r="T20" i="9"/>
  <c r="Q20" i="9" s="1"/>
  <c r="D20" i="9" s="1"/>
  <c r="E20" i="9" s="1"/>
  <c r="U20" i="9"/>
  <c r="R41" i="9"/>
  <c r="U41" i="9"/>
  <c r="T51" i="9"/>
  <c r="Q51" i="9" s="1"/>
  <c r="D51" i="9" s="1"/>
  <c r="E51" i="9" s="1"/>
  <c r="T72" i="9"/>
  <c r="Q72" i="9" s="1"/>
  <c r="D72" i="9" s="1"/>
  <c r="E72" i="9" s="1"/>
  <c r="T24" i="9"/>
  <c r="U24" i="9"/>
  <c r="P13" i="9"/>
  <c r="Q13" i="9" s="1"/>
  <c r="D13" i="9" s="1"/>
  <c r="R45" i="9"/>
  <c r="U45" i="9"/>
  <c r="T35" i="9"/>
  <c r="Q35" i="9" s="1"/>
  <c r="D35" i="9" s="1"/>
  <c r="E35" i="9" s="1"/>
  <c r="R51" i="9"/>
  <c r="T68" i="9"/>
  <c r="Q68" i="9" s="1"/>
  <c r="D68" i="9" s="1"/>
  <c r="E68" i="9" s="1"/>
  <c r="R56" i="9"/>
  <c r="T63" i="9"/>
  <c r="Q63" i="9" s="1"/>
  <c r="D63" i="9" s="1"/>
  <c r="E63" i="9" s="1"/>
  <c r="T59" i="9"/>
  <c r="Q59" i="9" s="1"/>
  <c r="D59" i="9" s="1"/>
  <c r="E59" i="9" s="1"/>
  <c r="R68" i="9"/>
  <c r="U23" i="9"/>
  <c r="U40" i="9"/>
  <c r="U60" i="9"/>
  <c r="T60" i="9"/>
  <c r="U49" i="9"/>
  <c r="R49" i="9"/>
  <c r="U64" i="9"/>
  <c r="T64" i="9"/>
  <c r="Q64" i="9" s="1"/>
  <c r="D64" i="9" s="1"/>
  <c r="E64" i="9" s="1"/>
  <c r="R53" i="9"/>
  <c r="U53" i="9"/>
  <c r="R72" i="9"/>
  <c r="U25" i="9"/>
  <c r="R25" i="9"/>
  <c r="U57" i="9"/>
  <c r="R57" i="9"/>
  <c r="T49" i="9"/>
  <c r="Q49" i="9" s="1"/>
  <c r="D49" i="9" s="1"/>
  <c r="E49" i="9" s="1"/>
  <c r="T55" i="9"/>
  <c r="Q55" i="9" s="1"/>
  <c r="D55" i="9" s="1"/>
  <c r="E55" i="9" s="1"/>
  <c r="T25" i="9"/>
  <c r="Q25" i="9" s="1"/>
  <c r="D25" i="9" s="1"/>
  <c r="E25" i="9" s="1"/>
  <c r="T65" i="9"/>
  <c r="Q65" i="9" s="1"/>
  <c r="D65" i="9" s="1"/>
  <c r="E65" i="9" s="1"/>
  <c r="U17" i="9"/>
  <c r="R17" i="9"/>
  <c r="U32" i="9"/>
  <c r="T32" i="9"/>
  <c r="Q32" i="9" s="1"/>
  <c r="D32" i="9" s="1"/>
  <c r="E32" i="9" s="1"/>
  <c r="U21" i="9"/>
  <c r="R21" i="9"/>
  <c r="R61" i="9"/>
  <c r="U61" i="9"/>
  <c r="R40" i="9"/>
  <c r="R55" i="9"/>
  <c r="U33" i="9"/>
  <c r="R33" i="9"/>
  <c r="T27" i="9"/>
  <c r="Q27" i="9" s="1"/>
  <c r="D27" i="9" s="1"/>
  <c r="E27" i="9" s="1"/>
  <c r="U48" i="9"/>
  <c r="T48" i="9"/>
  <c r="R37" i="9"/>
  <c r="U37" i="9"/>
  <c r="U69" i="9"/>
  <c r="R69" i="9"/>
  <c r="R48" i="9"/>
  <c r="T57" i="9"/>
  <c r="Q57" i="9" s="1"/>
  <c r="D57" i="9" s="1"/>
  <c r="E57" i="9" s="1"/>
  <c r="R28" i="9"/>
  <c r="R39" i="9"/>
  <c r="R29" i="9"/>
  <c r="U29" i="9"/>
  <c r="T44" i="9"/>
  <c r="Q44" i="9" s="1"/>
  <c r="D44" i="9" s="1"/>
  <c r="E44" i="9" s="1"/>
  <c r="U44" i="9"/>
  <c r="R31" i="9"/>
  <c r="T67" i="9"/>
  <c r="Q67" i="9" s="1"/>
  <c r="D67" i="9" s="1"/>
  <c r="E67" i="9" s="1"/>
  <c r="R32" i="9"/>
  <c r="R67" i="9"/>
  <c r="R20" i="9"/>
  <c r="Q60" i="9" l="1"/>
  <c r="D60" i="9" s="1"/>
  <c r="E60" i="9" s="1"/>
  <c r="Q48" i="9"/>
  <c r="D48" i="9" s="1"/>
  <c r="E48" i="9" s="1"/>
  <c r="Q24" i="9"/>
  <c r="D24" i="9" s="1"/>
  <c r="E24" i="9" s="1"/>
  <c r="J76" i="9"/>
  <c r="W76" i="9" s="1"/>
  <c r="X75" i="9"/>
  <c r="U75" i="9"/>
  <c r="R75" i="9"/>
  <c r="T75" i="9"/>
  <c r="Q75" i="9" s="1"/>
  <c r="D75" i="9" s="1"/>
  <c r="E75" i="9" s="1"/>
  <c r="S75" i="9"/>
  <c r="Q14" i="9"/>
  <c r="D14" i="9" s="1"/>
  <c r="E14" i="9" s="1"/>
  <c r="K76" i="9"/>
  <c r="C76" i="9"/>
  <c r="I77" i="9" s="1"/>
  <c r="Q16" i="9"/>
  <c r="D16" i="9" s="1"/>
  <c r="E16" i="9" s="1"/>
  <c r="Q15" i="9"/>
  <c r="D15" i="9" s="1"/>
  <c r="E15" i="9" s="1"/>
  <c r="E13" i="9"/>
  <c r="J77" i="9" l="1"/>
  <c r="W77" i="9" s="1"/>
  <c r="X76" i="9"/>
  <c r="S76" i="9"/>
  <c r="T76" i="9"/>
  <c r="Q76" i="9" s="1"/>
  <c r="D76" i="9" s="1"/>
  <c r="E76" i="9" s="1"/>
  <c r="U76" i="9"/>
  <c r="R76" i="9"/>
  <c r="K77" i="9"/>
  <c r="C77" i="9"/>
  <c r="I78" i="9" s="1"/>
  <c r="J78" i="9" l="1"/>
  <c r="W78" i="9" s="1"/>
  <c r="X77" i="9"/>
  <c r="T77" i="9"/>
  <c r="Q77" i="9" s="1"/>
  <c r="D77" i="9" s="1"/>
  <c r="U77" i="9"/>
  <c r="S77" i="9"/>
  <c r="R77" i="9"/>
  <c r="K78" i="9"/>
  <c r="C78" i="9"/>
  <c r="I79" i="9" s="1"/>
  <c r="R78" i="9" l="1"/>
  <c r="J79" i="9"/>
  <c r="W79" i="9" s="1"/>
  <c r="X78" i="9"/>
  <c r="E77" i="9"/>
  <c r="S78" i="9"/>
  <c r="U78" i="9"/>
  <c r="T78" i="9"/>
  <c r="Q78" i="9" s="1"/>
  <c r="D78" i="9" s="1"/>
  <c r="E78" i="9" s="1"/>
  <c r="K79" i="9"/>
  <c r="C79" i="9"/>
  <c r="I80" i="9" s="1"/>
  <c r="U79" i="9" l="1"/>
  <c r="S79" i="9"/>
  <c r="R79" i="9"/>
  <c r="J80" i="9"/>
  <c r="W80" i="9" s="1"/>
  <c r="X79" i="9"/>
  <c r="T79" i="9"/>
  <c r="Q79" i="9" s="1"/>
  <c r="D79" i="9" s="1"/>
  <c r="K80" i="9"/>
  <c r="C80" i="9"/>
  <c r="I81" i="9" s="1"/>
  <c r="T80" i="9" l="1"/>
  <c r="Q80" i="9" s="1"/>
  <c r="D80" i="9" s="1"/>
  <c r="E80" i="9" s="1"/>
  <c r="U80" i="9"/>
  <c r="R80" i="9"/>
  <c r="S80" i="9"/>
  <c r="J81" i="9"/>
  <c r="W81" i="9" s="1"/>
  <c r="X80" i="9"/>
  <c r="E79" i="9"/>
  <c r="K81" i="9"/>
  <c r="C81" i="9"/>
  <c r="I82" i="9" s="1"/>
  <c r="T81" i="9" l="1"/>
  <c r="Q81" i="9" s="1"/>
  <c r="D81" i="9" s="1"/>
  <c r="E81" i="9" s="1"/>
  <c r="R81" i="9"/>
  <c r="U81" i="9"/>
  <c r="S81" i="9"/>
  <c r="J82" i="9"/>
  <c r="W82" i="9" s="1"/>
  <c r="X81" i="9"/>
  <c r="K82" i="9"/>
  <c r="C82" i="9"/>
  <c r="I83" i="9" s="1"/>
  <c r="T82" i="9" l="1"/>
  <c r="S82" i="9"/>
  <c r="U82" i="9"/>
  <c r="R82" i="9"/>
  <c r="J83" i="9"/>
  <c r="W83" i="9" s="1"/>
  <c r="X82" i="9"/>
  <c r="K83" i="9"/>
  <c r="C83" i="9"/>
  <c r="I84" i="9" s="1"/>
  <c r="U83" i="9" l="1"/>
  <c r="Q82" i="9"/>
  <c r="D82" i="9" s="1"/>
  <c r="E82" i="9" s="1"/>
  <c r="S83" i="9"/>
  <c r="T83" i="9"/>
  <c r="Q83" i="9" s="1"/>
  <c r="D83" i="9" s="1"/>
  <c r="E83" i="9" s="1"/>
  <c r="R83" i="9"/>
  <c r="J84" i="9"/>
  <c r="W84" i="9" s="1"/>
  <c r="X83" i="9"/>
  <c r="K84" i="9"/>
  <c r="U84" i="9" s="1"/>
  <c r="C84" i="9"/>
  <c r="I85" i="9" s="1"/>
  <c r="T84" i="9" l="1"/>
  <c r="Q84" i="9" s="1"/>
  <c r="D84" i="9" s="1"/>
  <c r="E84" i="9" s="1"/>
  <c r="S84" i="9"/>
  <c r="R84" i="9"/>
  <c r="J85" i="9"/>
  <c r="W85" i="9" s="1"/>
  <c r="X84" i="9"/>
  <c r="K85" i="9"/>
  <c r="C85" i="9"/>
  <c r="I86" i="9" s="1"/>
  <c r="U85" i="9" l="1"/>
  <c r="S85" i="9"/>
  <c r="R85" i="9"/>
  <c r="T85" i="9"/>
  <c r="Q85" i="9" s="1"/>
  <c r="D85" i="9" s="1"/>
  <c r="E85" i="9" s="1"/>
  <c r="J86" i="9"/>
  <c r="W86" i="9" s="1"/>
  <c r="X85" i="9"/>
  <c r="K86" i="9"/>
  <c r="C86" i="9"/>
  <c r="I87" i="9" s="1"/>
  <c r="S86" i="9" l="1"/>
  <c r="T86" i="9"/>
  <c r="Q86" i="9" s="1"/>
  <c r="D86" i="9" s="1"/>
  <c r="E86" i="9" s="1"/>
  <c r="U86" i="9"/>
  <c r="R86" i="9"/>
  <c r="J87" i="9"/>
  <c r="W87" i="9" s="1"/>
  <c r="X86" i="9"/>
  <c r="K87" i="9"/>
  <c r="C87" i="9"/>
  <c r="I88" i="9" s="1"/>
  <c r="T87" i="9" l="1"/>
  <c r="Q87" i="9" s="1"/>
  <c r="D87" i="9" s="1"/>
  <c r="E87" i="9" s="1"/>
  <c r="S87" i="9"/>
  <c r="U87" i="9"/>
  <c r="R87" i="9"/>
  <c r="J88" i="9"/>
  <c r="W88" i="9" s="1"/>
  <c r="X87" i="9"/>
  <c r="K88" i="9"/>
  <c r="C88" i="9"/>
  <c r="I89" i="9" s="1"/>
  <c r="U88" i="9" l="1"/>
  <c r="R88" i="9"/>
  <c r="S88" i="9"/>
  <c r="T88" i="9"/>
  <c r="Q88" i="9" s="1"/>
  <c r="D88" i="9" s="1"/>
  <c r="E88" i="9" s="1"/>
  <c r="J89" i="9"/>
  <c r="W89" i="9" s="1"/>
  <c r="X88" i="9"/>
  <c r="K89" i="9"/>
  <c r="C89" i="9"/>
  <c r="I90" i="9" s="1"/>
  <c r="R89" i="9" l="1"/>
  <c r="S89" i="9"/>
  <c r="U89" i="9"/>
  <c r="T89" i="9"/>
  <c r="Q89" i="9" s="1"/>
  <c r="D89" i="9" s="1"/>
  <c r="E89" i="9" s="1"/>
  <c r="J90" i="9"/>
  <c r="W90" i="9" s="1"/>
  <c r="X89" i="9"/>
  <c r="K90" i="9"/>
  <c r="C90" i="9"/>
  <c r="I91" i="9" s="1"/>
  <c r="T90" i="9" l="1"/>
  <c r="Q90" i="9" s="1"/>
  <c r="D90" i="9" s="1"/>
  <c r="E90" i="9" s="1"/>
  <c r="S90" i="9"/>
  <c r="U90" i="9"/>
  <c r="R90" i="9"/>
  <c r="J91" i="9"/>
  <c r="W91" i="9" s="1"/>
  <c r="X90" i="9"/>
  <c r="K91" i="9"/>
  <c r="C91" i="9"/>
  <c r="I92" i="9" s="1"/>
  <c r="R91" i="9" l="1"/>
  <c r="U91" i="9"/>
  <c r="T91" i="9"/>
  <c r="Q91" i="9" s="1"/>
  <c r="D91" i="9" s="1"/>
  <c r="E91" i="9" s="1"/>
  <c r="S91" i="9"/>
  <c r="J92" i="9"/>
  <c r="W92" i="9" s="1"/>
  <c r="X91" i="9"/>
  <c r="K92" i="9"/>
  <c r="C92" i="9"/>
  <c r="I93" i="9" s="1"/>
  <c r="R92" i="9" l="1"/>
  <c r="S92" i="9"/>
  <c r="T92" i="9"/>
  <c r="Q92" i="9" s="1"/>
  <c r="D92" i="9" s="1"/>
  <c r="E92" i="9" s="1"/>
  <c r="U92" i="9"/>
  <c r="J93" i="9"/>
  <c r="W93" i="9" s="1"/>
  <c r="X92" i="9"/>
  <c r="K93" i="9"/>
  <c r="C93" i="9"/>
  <c r="I94" i="9" s="1"/>
  <c r="S93" i="9" l="1"/>
  <c r="R93" i="9"/>
  <c r="T93" i="9"/>
  <c r="Q93" i="9" s="1"/>
  <c r="D93" i="9" s="1"/>
  <c r="E93" i="9" s="1"/>
  <c r="U93" i="9"/>
  <c r="J94" i="9"/>
  <c r="W94" i="9" s="1"/>
  <c r="X93" i="9"/>
  <c r="K94" i="9"/>
  <c r="C94" i="9"/>
  <c r="I95" i="9" s="1"/>
  <c r="S94" i="9" l="1"/>
  <c r="R94" i="9"/>
  <c r="U94" i="9"/>
  <c r="T94" i="9"/>
  <c r="Q94" i="9" s="1"/>
  <c r="D94" i="9" s="1"/>
  <c r="E94" i="9" s="1"/>
  <c r="J95" i="9"/>
  <c r="W95" i="9" s="1"/>
  <c r="X94" i="9"/>
  <c r="K95" i="9"/>
  <c r="C95" i="9"/>
  <c r="I96" i="9" s="1"/>
  <c r="U95" i="9" l="1"/>
  <c r="R95" i="9"/>
  <c r="S95" i="9"/>
  <c r="T95" i="9"/>
  <c r="Q95" i="9" s="1"/>
  <c r="D95" i="9" s="1"/>
  <c r="E95" i="9" s="1"/>
  <c r="J96" i="9"/>
  <c r="W96" i="9" s="1"/>
  <c r="X95" i="9"/>
  <c r="K96" i="9"/>
  <c r="C96" i="9"/>
  <c r="I97" i="9" s="1"/>
  <c r="S96" i="9" l="1"/>
  <c r="T96" i="9"/>
  <c r="Q96" i="9" s="1"/>
  <c r="D96" i="9" s="1"/>
  <c r="E96" i="9" s="1"/>
  <c r="R96" i="9"/>
  <c r="U96" i="9"/>
  <c r="J97" i="9"/>
  <c r="W97" i="9" s="1"/>
  <c r="X96" i="9"/>
  <c r="K97" i="9"/>
  <c r="C97" i="9"/>
  <c r="I98" i="9" s="1"/>
  <c r="U97" i="9" l="1"/>
  <c r="S97" i="9"/>
  <c r="T97" i="9"/>
  <c r="Q97" i="9" s="1"/>
  <c r="D97" i="9" s="1"/>
  <c r="E97" i="9" s="1"/>
  <c r="R97" i="9"/>
  <c r="J98" i="9"/>
  <c r="W98" i="9" s="1"/>
  <c r="X97" i="9"/>
  <c r="K98" i="9"/>
  <c r="T98" i="9" s="1"/>
  <c r="Q98" i="9" s="1"/>
  <c r="D98" i="9" s="1"/>
  <c r="C98" i="9"/>
  <c r="I99" i="9" s="1"/>
  <c r="R98" i="9" l="1"/>
  <c r="S98" i="9"/>
  <c r="U98" i="9"/>
  <c r="J99" i="9"/>
  <c r="W99" i="9" s="1"/>
  <c r="X98" i="9"/>
  <c r="K99" i="9"/>
  <c r="C99" i="9"/>
  <c r="I100" i="9" s="1"/>
  <c r="E98" i="9"/>
  <c r="R99" i="9" l="1"/>
  <c r="S99" i="9"/>
  <c r="T99" i="9"/>
  <c r="Q99" i="9" s="1"/>
  <c r="D99" i="9" s="1"/>
  <c r="E99" i="9" s="1"/>
  <c r="U99" i="9"/>
  <c r="J100" i="9"/>
  <c r="W100" i="9" s="1"/>
  <c r="X99" i="9"/>
  <c r="K100" i="9"/>
  <c r="C100" i="9"/>
  <c r="I101" i="9" s="1"/>
  <c r="T100" i="9" l="1"/>
  <c r="Q100" i="9" s="1"/>
  <c r="D100" i="9" s="1"/>
  <c r="E100" i="9" s="1"/>
  <c r="U100" i="9"/>
  <c r="R100" i="9"/>
  <c r="S100" i="9"/>
  <c r="J101" i="9"/>
  <c r="W101" i="9" s="1"/>
  <c r="X100" i="9"/>
  <c r="K101" i="9"/>
  <c r="C101" i="9"/>
  <c r="I102" i="9" s="1"/>
  <c r="U101" i="9" l="1"/>
  <c r="T101" i="9"/>
  <c r="Q101" i="9" s="1"/>
  <c r="D101" i="9" s="1"/>
  <c r="E101" i="9" s="1"/>
  <c r="S101" i="9"/>
  <c r="R101" i="9"/>
  <c r="J102" i="9"/>
  <c r="W102" i="9" s="1"/>
  <c r="X101" i="9"/>
  <c r="K102" i="9"/>
  <c r="C102" i="9"/>
  <c r="I103" i="9" s="1"/>
  <c r="R102" i="9" l="1"/>
  <c r="T102" i="9"/>
  <c r="Q102" i="9" s="1"/>
  <c r="D102" i="9" s="1"/>
  <c r="E102" i="9" s="1"/>
  <c r="S102" i="9"/>
  <c r="U102" i="9"/>
  <c r="J103" i="9"/>
  <c r="W103" i="9" s="1"/>
  <c r="X102" i="9"/>
  <c r="K103" i="9"/>
  <c r="C103" i="9"/>
  <c r="I104" i="9" s="1"/>
  <c r="R103" i="9" l="1"/>
  <c r="U103" i="9"/>
  <c r="T103" i="9"/>
  <c r="Q103" i="9" s="1"/>
  <c r="D103" i="9" s="1"/>
  <c r="E103" i="9" s="1"/>
  <c r="S103" i="9"/>
  <c r="J104" i="9"/>
  <c r="W104" i="9" s="1"/>
  <c r="X103" i="9"/>
  <c r="K104" i="9"/>
  <c r="C104" i="9"/>
  <c r="I105" i="9" s="1"/>
  <c r="S104" i="9" l="1"/>
  <c r="R104" i="9"/>
  <c r="U104" i="9"/>
  <c r="T104" i="9"/>
  <c r="Q104" i="9" s="1"/>
  <c r="D104" i="9" s="1"/>
  <c r="E104" i="9" s="1"/>
  <c r="J105" i="9"/>
  <c r="W105" i="9" s="1"/>
  <c r="X104" i="9"/>
  <c r="K105" i="9"/>
  <c r="C105" i="9"/>
  <c r="I106" i="9" s="1"/>
  <c r="S105" i="9" l="1"/>
  <c r="R105" i="9"/>
  <c r="U105" i="9"/>
  <c r="T105" i="9"/>
  <c r="Q105" i="9" s="1"/>
  <c r="D105" i="9" s="1"/>
  <c r="E105" i="9" s="1"/>
  <c r="J106" i="9"/>
  <c r="W106" i="9" s="1"/>
  <c r="X105" i="9"/>
  <c r="K106" i="9"/>
  <c r="C106" i="9"/>
  <c r="I107" i="9" s="1"/>
  <c r="S106" i="9" l="1"/>
  <c r="T106" i="9"/>
  <c r="Q106" i="9" s="1"/>
  <c r="D106" i="9" s="1"/>
  <c r="E106" i="9" s="1"/>
  <c r="U106" i="9"/>
  <c r="R106" i="9"/>
  <c r="J107" i="9"/>
  <c r="W107" i="9" s="1"/>
  <c r="X106" i="9"/>
  <c r="K107" i="9"/>
  <c r="C107" i="9"/>
  <c r="I108" i="9" s="1"/>
  <c r="U107" i="9" l="1"/>
  <c r="S107" i="9"/>
  <c r="T107" i="9"/>
  <c r="Q107" i="9" s="1"/>
  <c r="D107" i="9" s="1"/>
  <c r="E107" i="9" s="1"/>
  <c r="R107" i="9"/>
  <c r="J108" i="9"/>
  <c r="W108" i="9" s="1"/>
  <c r="X107" i="9"/>
  <c r="K108" i="9"/>
  <c r="C108" i="9"/>
  <c r="I109" i="9" s="1"/>
  <c r="R108" i="9" l="1"/>
  <c r="T108" i="9"/>
  <c r="Q108" i="9" s="1"/>
  <c r="D108" i="9" s="1"/>
  <c r="E108" i="9" s="1"/>
  <c r="U108" i="9"/>
  <c r="S108" i="9"/>
  <c r="J109" i="9"/>
  <c r="W109" i="9" s="1"/>
  <c r="X108" i="9"/>
  <c r="K109" i="9"/>
  <c r="C109" i="9"/>
  <c r="I110" i="9" s="1"/>
  <c r="T109" i="9" l="1"/>
  <c r="Q109" i="9" s="1"/>
  <c r="D109" i="9" s="1"/>
  <c r="E109" i="9" s="1"/>
  <c r="U109" i="9"/>
  <c r="R109" i="9"/>
  <c r="S109" i="9"/>
  <c r="J110" i="9"/>
  <c r="W110" i="9" s="1"/>
  <c r="X109" i="9"/>
  <c r="K110" i="9"/>
  <c r="C110" i="9"/>
  <c r="I111" i="9" s="1"/>
  <c r="T110" i="9" l="1"/>
  <c r="Q110" i="9" s="1"/>
  <c r="D110" i="9" s="1"/>
  <c r="E110" i="9" s="1"/>
  <c r="S110" i="9"/>
  <c r="U110" i="9"/>
  <c r="R110" i="9"/>
  <c r="J111" i="9"/>
  <c r="W111" i="9" s="1"/>
  <c r="X110" i="9"/>
  <c r="K111" i="9"/>
  <c r="C111" i="9"/>
  <c r="I112" i="9" s="1"/>
  <c r="S111" i="9" l="1"/>
  <c r="T111" i="9"/>
  <c r="Q111" i="9" s="1"/>
  <c r="D111" i="9" s="1"/>
  <c r="E111" i="9" s="1"/>
  <c r="U111" i="9"/>
  <c r="R111" i="9"/>
  <c r="J112" i="9"/>
  <c r="W112" i="9" s="1"/>
  <c r="X111" i="9"/>
  <c r="K112" i="9"/>
  <c r="C112" i="9"/>
  <c r="I113" i="9" s="1"/>
  <c r="T112" i="9" l="1"/>
  <c r="Q112" i="9" s="1"/>
  <c r="D112" i="9" s="1"/>
  <c r="E112" i="9" s="1"/>
  <c r="R112" i="9"/>
  <c r="S112" i="9"/>
  <c r="U112" i="9"/>
  <c r="J113" i="9"/>
  <c r="W113" i="9" s="1"/>
  <c r="X112" i="9"/>
  <c r="K113" i="9"/>
  <c r="C113" i="9"/>
  <c r="I114" i="9" s="1"/>
  <c r="U113" i="9" l="1"/>
  <c r="S113" i="9"/>
  <c r="T113" i="9"/>
  <c r="Q113" i="9" s="1"/>
  <c r="D113" i="9" s="1"/>
  <c r="E113" i="9" s="1"/>
  <c r="R113" i="9"/>
  <c r="J114" i="9"/>
  <c r="W114" i="9" s="1"/>
  <c r="X113" i="9"/>
  <c r="K114" i="9"/>
  <c r="C114" i="9"/>
  <c r="I115" i="9" s="1"/>
  <c r="R114" i="9" l="1"/>
  <c r="T114" i="9"/>
  <c r="Q114" i="9" s="1"/>
  <c r="D114" i="9" s="1"/>
  <c r="E114" i="9" s="1"/>
  <c r="S114" i="9"/>
  <c r="U114" i="9"/>
  <c r="J115" i="9"/>
  <c r="W115" i="9" s="1"/>
  <c r="X114" i="9"/>
  <c r="K115" i="9"/>
  <c r="C115" i="9"/>
  <c r="I116" i="9" s="1"/>
  <c r="U115" i="9" l="1"/>
  <c r="S115" i="9"/>
  <c r="R115" i="9"/>
  <c r="T115" i="9"/>
  <c r="Q115" i="9" s="1"/>
  <c r="D115" i="9" s="1"/>
  <c r="E115" i="9" s="1"/>
  <c r="J116" i="9"/>
  <c r="W116" i="9" s="1"/>
  <c r="X115" i="9"/>
  <c r="K116" i="9"/>
  <c r="C116" i="9"/>
  <c r="I117" i="9" s="1"/>
  <c r="U116" i="9" l="1"/>
  <c r="R116" i="9"/>
  <c r="T116" i="9"/>
  <c r="Q116" i="9" s="1"/>
  <c r="D116" i="9" s="1"/>
  <c r="E116" i="9" s="1"/>
  <c r="S116" i="9"/>
  <c r="J117" i="9"/>
  <c r="W117" i="9" s="1"/>
  <c r="X116" i="9"/>
  <c r="K117" i="9"/>
  <c r="C117" i="9"/>
  <c r="I118" i="9" s="1"/>
  <c r="T117" i="9" l="1"/>
  <c r="Q117" i="9" s="1"/>
  <c r="D117" i="9" s="1"/>
  <c r="E117" i="9" s="1"/>
  <c r="R117" i="9"/>
  <c r="S117" i="9"/>
  <c r="U117" i="9"/>
  <c r="J118" i="9"/>
  <c r="W118" i="9" s="1"/>
  <c r="X117" i="9"/>
  <c r="K118" i="9"/>
  <c r="C118" i="9"/>
  <c r="I119" i="9" s="1"/>
  <c r="U118" i="9" l="1"/>
  <c r="T118" i="9"/>
  <c r="Q118" i="9" s="1"/>
  <c r="D118" i="9" s="1"/>
  <c r="E118" i="9" s="1"/>
  <c r="S118" i="9"/>
  <c r="R118" i="9"/>
  <c r="J119" i="9"/>
  <c r="W119" i="9" s="1"/>
  <c r="X118" i="9"/>
  <c r="K119" i="9"/>
  <c r="C119" i="9"/>
  <c r="I120" i="9" s="1"/>
  <c r="R119" i="9" l="1"/>
  <c r="S119" i="9"/>
  <c r="U119" i="9"/>
  <c r="T119" i="9"/>
  <c r="Q119" i="9" s="1"/>
  <c r="D119" i="9" s="1"/>
  <c r="E119" i="9" s="1"/>
  <c r="J120" i="9"/>
  <c r="W120" i="9" s="1"/>
  <c r="X119" i="9"/>
  <c r="K120" i="9"/>
  <c r="C120" i="9"/>
  <c r="I121" i="9" s="1"/>
  <c r="S120" i="9" l="1"/>
  <c r="T120" i="9"/>
  <c r="Q120" i="9" s="1"/>
  <c r="D120" i="9" s="1"/>
  <c r="E120" i="9" s="1"/>
  <c r="R120" i="9"/>
  <c r="U120" i="9"/>
  <c r="J121" i="9"/>
  <c r="W121" i="9" s="1"/>
  <c r="X120" i="9"/>
  <c r="K121" i="9"/>
  <c r="C121" i="9"/>
  <c r="I122" i="9" s="1"/>
  <c r="U121" i="9" l="1"/>
  <c r="T121" i="9"/>
  <c r="Q121" i="9" s="1"/>
  <c r="D121" i="9" s="1"/>
  <c r="E121" i="9" s="1"/>
  <c r="R121" i="9"/>
  <c r="S121" i="9"/>
  <c r="J122" i="9"/>
  <c r="W122" i="9" s="1"/>
  <c r="X121" i="9"/>
  <c r="K122" i="9"/>
  <c r="C122" i="9"/>
  <c r="I123" i="9" s="1"/>
  <c r="U122" i="9" l="1"/>
  <c r="T122" i="9"/>
  <c r="Q122" i="9" s="1"/>
  <c r="D122" i="9" s="1"/>
  <c r="E122" i="9" s="1"/>
  <c r="R122" i="9"/>
  <c r="S122" i="9"/>
  <c r="J123" i="9"/>
  <c r="W123" i="9" s="1"/>
  <c r="X122" i="9"/>
  <c r="K123" i="9"/>
  <c r="C123" i="9"/>
  <c r="I124" i="9" s="1"/>
  <c r="U123" i="9" l="1"/>
  <c r="R123" i="9"/>
  <c r="T123" i="9"/>
  <c r="Q123" i="9" s="1"/>
  <c r="D123" i="9" s="1"/>
  <c r="E123" i="9" s="1"/>
  <c r="S123" i="9"/>
  <c r="J124" i="9"/>
  <c r="W124" i="9" s="1"/>
  <c r="X123" i="9"/>
  <c r="K124" i="9"/>
  <c r="C124" i="9"/>
  <c r="I125" i="9" s="1"/>
  <c r="U124" i="9" l="1"/>
  <c r="R124" i="9"/>
  <c r="S124" i="9"/>
  <c r="T124" i="9"/>
  <c r="Q124" i="9" s="1"/>
  <c r="D124" i="9" s="1"/>
  <c r="E124" i="9" s="1"/>
  <c r="J125" i="9"/>
  <c r="W125" i="9" s="1"/>
  <c r="X124" i="9"/>
  <c r="K125" i="9"/>
  <c r="C125" i="9"/>
  <c r="I126" i="9" s="1"/>
  <c r="S125" i="9" l="1"/>
  <c r="T125" i="9"/>
  <c r="Q125" i="9" s="1"/>
  <c r="D125" i="9" s="1"/>
  <c r="E125" i="9" s="1"/>
  <c r="U125" i="9"/>
  <c r="R125" i="9"/>
  <c r="J126" i="9"/>
  <c r="W126" i="9" s="1"/>
  <c r="X125" i="9"/>
  <c r="K126" i="9"/>
  <c r="C126" i="9"/>
  <c r="I127" i="9" s="1"/>
  <c r="U126" i="9" l="1"/>
  <c r="T126" i="9"/>
  <c r="Q126" i="9" s="1"/>
  <c r="D126" i="9" s="1"/>
  <c r="E126" i="9" s="1"/>
  <c r="S126" i="9"/>
  <c r="R126" i="9"/>
  <c r="J127" i="9"/>
  <c r="W127" i="9" s="1"/>
  <c r="X126" i="9"/>
  <c r="K127" i="9"/>
  <c r="C127" i="9"/>
  <c r="I128" i="9" s="1"/>
  <c r="U127" i="9" l="1"/>
  <c r="R127" i="9"/>
  <c r="T127" i="9"/>
  <c r="Q127" i="9" s="1"/>
  <c r="D127" i="9" s="1"/>
  <c r="E127" i="9" s="1"/>
  <c r="S127" i="9"/>
  <c r="J128" i="9"/>
  <c r="W128" i="9" s="1"/>
  <c r="X127" i="9"/>
  <c r="K128" i="9"/>
  <c r="C128" i="9"/>
  <c r="I129" i="9" s="1"/>
  <c r="U128" i="9" l="1"/>
  <c r="S128" i="9"/>
  <c r="T128" i="9"/>
  <c r="Q128" i="9" s="1"/>
  <c r="D128" i="9" s="1"/>
  <c r="E128" i="9" s="1"/>
  <c r="R128" i="9"/>
  <c r="J129" i="9"/>
  <c r="W129" i="9" s="1"/>
  <c r="X128" i="9"/>
  <c r="K129" i="9"/>
  <c r="C129" i="9"/>
  <c r="I130" i="9" s="1"/>
  <c r="S129" i="9" l="1"/>
  <c r="T129" i="9"/>
  <c r="Q129" i="9" s="1"/>
  <c r="D129" i="9" s="1"/>
  <c r="E129" i="9" s="1"/>
  <c r="R129" i="9"/>
  <c r="U129" i="9"/>
  <c r="J130" i="9"/>
  <c r="W130" i="9" s="1"/>
  <c r="X129" i="9"/>
  <c r="K130" i="9"/>
  <c r="C130" i="9"/>
  <c r="I131" i="9" s="1"/>
  <c r="J131" i="9" l="1"/>
  <c r="W131" i="9" s="1"/>
  <c r="X130" i="9"/>
  <c r="T130" i="9"/>
  <c r="Q130" i="9" s="1"/>
  <c r="D130" i="9" s="1"/>
  <c r="E130" i="9" s="1"/>
  <c r="U130" i="9"/>
  <c r="R130" i="9"/>
  <c r="S130" i="9"/>
  <c r="K131" i="9"/>
  <c r="R131" i="9" s="1"/>
  <c r="C131" i="9"/>
  <c r="I132" i="9" s="1"/>
  <c r="J132" i="9" l="1"/>
  <c r="W132" i="9" s="1"/>
  <c r="X131" i="9"/>
  <c r="U131" i="9"/>
  <c r="T131" i="9"/>
  <c r="Q131" i="9" s="1"/>
  <c r="D131" i="9" s="1"/>
  <c r="E131" i="9" s="1"/>
  <c r="S131" i="9"/>
  <c r="K132" i="9"/>
  <c r="C132" i="9"/>
  <c r="C10" i="9" s="1"/>
  <c r="U132" i="9" l="1"/>
  <c r="S132" i="9"/>
  <c r="X132" i="9"/>
  <c r="R132" i="9"/>
  <c r="T132" i="9"/>
  <c r="Q132" i="9" s="1"/>
  <c r="D132" i="9" s="1"/>
  <c r="D10" i="9" s="1"/>
  <c r="E132" i="9" l="1"/>
  <c r="E10" i="9" s="1"/>
  <c r="D3" i="9"/>
  <c r="E3" i="9"/>
</calcChain>
</file>

<file path=xl/sharedStrings.xml><?xml version="1.0" encoding="utf-8"?>
<sst xmlns="http://schemas.openxmlformats.org/spreadsheetml/2006/main" count="85" uniqueCount="85">
  <si>
    <t>Выплаты по кредитам</t>
  </si>
  <si>
    <t>Количество членов семьи</t>
  </si>
  <si>
    <t xml:space="preserve">Процентная ставка по договору </t>
  </si>
  <si>
    <t>Ежемесячный платеж по кредиту (BYR)</t>
  </si>
  <si>
    <t>Абонентская плата за использование пакета услуг (BYR)</t>
  </si>
  <si>
    <t xml:space="preserve">Расчет доступной суммы кредита для кредитного продукта </t>
  </si>
  <si>
    <t>Предварительный график платежей по кредиту</t>
  </si>
  <si>
    <t>Итого (бел.руб.)</t>
  </si>
  <si>
    <t>Платеж</t>
  </si>
  <si>
    <t>Сумма платежа по ОД (бел.руб)</t>
  </si>
  <si>
    <t>Сумма платежа по %  (бел.руб)</t>
  </si>
  <si>
    <t>Сумма  платежа по кредиту (бел.руб)</t>
  </si>
  <si>
    <t>Cрок кредита (мес.)</t>
  </si>
  <si>
    <t>Общая сумма кредита утвержденная РМ (ИТОГО)</t>
  </si>
  <si>
    <t xml:space="preserve">Новая сумма клиенту                                            </t>
  </si>
  <si>
    <t xml:space="preserve">Новая сумма страховой организации </t>
  </si>
  <si>
    <t>Cтраховка</t>
  </si>
  <si>
    <t>Тип</t>
  </si>
  <si>
    <t>Название СК</t>
  </si>
  <si>
    <t>коэф.</t>
  </si>
  <si>
    <t>Знач</t>
  </si>
  <si>
    <t xml:space="preserve">Новые параметры кредитования </t>
  </si>
  <si>
    <t>ИТОГО  Сумма ежемесячного платежа</t>
  </si>
  <si>
    <t xml:space="preserve">Сумма, которую необходимо внести клиенту в кассу магазина. </t>
  </si>
  <si>
    <t>I</t>
  </si>
  <si>
    <t>Расчет доступной суммы кредита осуществляется с обязательным заполнением следующих полей:</t>
  </si>
  <si>
    <t>Выбор программы кредитования</t>
  </si>
  <si>
    <t>Запрашиваемый срок кредита (По умолчанию рассчитывается исходя из срока  60 мес.)</t>
  </si>
  <si>
    <t xml:space="preserve">При желании клиента оформить кредит на иной срок - запрашиваемый срок кредита необходимо изменить . </t>
  </si>
  <si>
    <t>Подтвержденный доход</t>
  </si>
  <si>
    <t>Иные платежа кроме коммунальных</t>
  </si>
  <si>
    <t xml:space="preserve">После заполнения вышеуказанных полей вы сможете увидеть максимально доступную сумму кредита, </t>
  </si>
  <si>
    <t xml:space="preserve">без дополнительной проверки путем ввода максимальной  суммы кредита в поле "Запрашиваемая сумма кредита". </t>
  </si>
  <si>
    <t>II</t>
  </si>
  <si>
    <t>Работа   с вкладкой калькулятора «Расчет суммы (корректировка РМ)»</t>
  </si>
  <si>
    <t xml:space="preserve"> Для корректного пересчета суммы кредита с/без страховки , сниженной при рассмотрении риск-менеджером, необходимо: </t>
  </si>
  <si>
    <t>1.На вкладке «Калькулятор» обязательно заполняем следующие поля:</t>
  </si>
  <si>
    <t>1.1. Программа кредитования</t>
  </si>
  <si>
    <t>(если имеется)</t>
  </si>
  <si>
    <t>*информация в полях должна четко соответствовать первоначально введенным параметрам по заявке до рассмотрения риск-менеджером.</t>
  </si>
  <si>
    <t>2. Переходим на вкладку «Расчет суммы (корректировки РМ)</t>
  </si>
  <si>
    <t>1.2. Указать сумму товара по Счет-Фактуре</t>
  </si>
  <si>
    <t>1.3. Указать сумму первоночального взноса</t>
  </si>
  <si>
    <t>1.4. Указать срок</t>
  </si>
  <si>
    <t>2.1. В поле "Общая сумма кредита утвержденная РМ (ИТОГО) вводим утвержденную сумму риск-менеджером.</t>
  </si>
  <si>
    <t>3.В поле "Общая сумма кредита утвержденная (РМ)" - необходимо внести сумму которую утвердил РМ.</t>
  </si>
  <si>
    <t>4. Получаете обновленную  информацию:</t>
  </si>
  <si>
    <r>
      <t>-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1"/>
        <color theme="1"/>
        <rFont val="Calibri"/>
        <family val="2"/>
        <charset val="204"/>
        <scheme val="minor"/>
      </rPr>
      <t>Новая сумма клиенту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</si>
  <si>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1"/>
        <color theme="1"/>
        <rFont val="Calibri"/>
        <family val="2"/>
        <charset val="204"/>
        <scheme val="minor"/>
      </rPr>
      <t>Новая сумма страховой организации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</si>
  <si>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 </t>
    </r>
    <r>
      <rPr>
        <sz val="11"/>
        <color theme="1"/>
        <rFont val="Calibri"/>
        <family val="2"/>
        <charset val="204"/>
        <scheme val="minor"/>
      </rPr>
      <t>Сумма, которую необходимо внести клиенту в кассу магазина.</t>
    </r>
  </si>
  <si>
    <t>Дата платежа</t>
  </si>
  <si>
    <t xml:space="preserve">Платежная дата </t>
  </si>
  <si>
    <t xml:space="preserve">Дата начала действаия 2-й ставки </t>
  </si>
  <si>
    <t xml:space="preserve">Сумма кредита </t>
  </si>
  <si>
    <t>Срок кредита (мес.)</t>
  </si>
  <si>
    <t>Отсрочка платежа по ОД (мес.)</t>
  </si>
  <si>
    <t>Остаток ОД на начало</t>
  </si>
  <si>
    <t xml:space="preserve">Даты </t>
  </si>
  <si>
    <t xml:space="preserve">Дата выдачи кредита/сегодня </t>
  </si>
  <si>
    <t>Остаток ОД на конец</t>
  </si>
  <si>
    <t xml:space="preserve">Остаток ОД </t>
  </si>
  <si>
    <t xml:space="preserve">Для ОД </t>
  </si>
  <si>
    <t>Для процентов</t>
  </si>
  <si>
    <t xml:space="preserve">дата конеца периода начисления </t>
  </si>
  <si>
    <t>начисление % (сроки)</t>
  </si>
  <si>
    <t xml:space="preserve">дата начала периода начисления </t>
  </si>
  <si>
    <t>ID</t>
  </si>
  <si>
    <t>Количество дней в месяце</t>
  </si>
  <si>
    <t>количество льгодных дней в периоде с ID = 2</t>
  </si>
  <si>
    <r>
      <t xml:space="preserve">количество </t>
    </r>
    <r>
      <rPr>
        <sz val="11"/>
        <color theme="9" tint="-0.249977111117893"/>
        <rFont val="Calibri"/>
        <family val="2"/>
        <charset val="204"/>
        <scheme val="minor"/>
      </rPr>
      <t>НЕ_льгодных</t>
    </r>
    <r>
      <rPr>
        <sz val="11"/>
        <color theme="1"/>
        <rFont val="Calibri"/>
        <family val="2"/>
        <charset val="204"/>
        <scheme val="minor"/>
      </rPr>
      <t xml:space="preserve"> дней в периоде с ID = 2</t>
    </r>
  </si>
  <si>
    <t>Количество дней после платежной даты</t>
  </si>
  <si>
    <t>Расчет суммы процентов</t>
  </si>
  <si>
    <t>Количество  дней для              1-й ставки</t>
  </si>
  <si>
    <t>Количество  дней для              2-й ставки</t>
  </si>
  <si>
    <t>%</t>
  </si>
  <si>
    <t>для ID 1 ставки</t>
  </si>
  <si>
    <t>для ID 2 ставки</t>
  </si>
  <si>
    <t>для ID 3 ставки</t>
  </si>
  <si>
    <t>для ID 4 ставки</t>
  </si>
  <si>
    <t>Срок действия льготной ставки (дней)</t>
  </si>
  <si>
    <t xml:space="preserve">Дата договора </t>
  </si>
  <si>
    <t>%-ставка по договору(Льготная /Основная)</t>
  </si>
  <si>
    <t>Среднедневные остатки на начало</t>
  </si>
  <si>
    <t>Среднедневные остатки на конец</t>
  </si>
  <si>
    <t>ППС Начало/конец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</si>
</sst>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name val="Arial Unicode MS"/>
      <family val="2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FF00"/>
      <name val="Arial"/>
      <family val="2"/>
      <charset val="204"/>
    </font>
    <font>
      <b/>
      <sz val="12"/>
      <color rgb="FFFF0000"/>
      <name val="Arial Unicode MS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7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gradientFill degree="90">
        <stop position="0">
          <color theme="8" tint="0.40000610370189521"/>
        </stop>
        <stop position="1">
          <color theme="3" tint="-0.25098422193060094"/>
        </stop>
      </gradientFill>
    </fill>
    <fill>
      <patternFill patternType="solid">
        <fgColor theme="3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theme="2" tint="-0.89996032593768116"/>
      </right>
      <top style="thick">
        <color theme="2" tint="-0.89996032593768116"/>
      </top>
      <bottom style="thick">
        <color theme="2" tint="-0.89996032593768116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indexed="64"/>
      </left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2060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4" borderId="0" xfId="0" applyFill="1"/>
    <xf numFmtId="3" fontId="0" fillId="0" borderId="0" xfId="0" applyNumberFormat="1"/>
    <xf numFmtId="0" fontId="0" fillId="0" borderId="0" xfId="0" applyAlignment="1"/>
    <xf numFmtId="0" fontId="0" fillId="9" borderId="0" xfId="0" applyFill="1" applyProtection="1">
      <protection hidden="1"/>
    </xf>
    <xf numFmtId="3" fontId="2" fillId="2" borderId="5" xfId="0" applyNumberFormat="1" applyFont="1" applyFill="1" applyBorder="1" applyAlignment="1" applyProtection="1">
      <alignment horizontal="center" vertical="center"/>
      <protection hidden="1"/>
    </xf>
    <xf numFmtId="2" fontId="6" fillId="8" borderId="0" xfId="0" applyNumberFormat="1" applyFont="1" applyFill="1" applyAlignment="1" applyProtection="1">
      <alignment horizontal="center" vertical="center"/>
      <protection locked="0" hidden="1"/>
    </xf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6" borderId="13" xfId="0" applyFill="1" applyBorder="1"/>
    <xf numFmtId="3" fontId="0" fillId="6" borderId="14" xfId="0" applyNumberFormat="1" applyFill="1" applyBorder="1"/>
    <xf numFmtId="0" fontId="0" fillId="6" borderId="14" xfId="0" applyFill="1" applyBorder="1"/>
    <xf numFmtId="10" fontId="0" fillId="6" borderId="14" xfId="0" applyNumberFormat="1" applyFill="1" applyBorder="1"/>
    <xf numFmtId="0" fontId="0" fillId="6" borderId="15" xfId="0" applyFill="1" applyBorder="1"/>
    <xf numFmtId="2" fontId="7" fillId="10" borderId="16" xfId="0" applyNumberFormat="1" applyFont="1" applyFill="1" applyBorder="1" applyAlignment="1" applyProtection="1">
      <alignment vertical="center"/>
      <protection hidden="1"/>
    </xf>
    <xf numFmtId="2" fontId="7" fillId="10" borderId="17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horizontal="center" vertical="center"/>
      <protection hidden="1"/>
    </xf>
    <xf numFmtId="3" fontId="3" fillId="7" borderId="27" xfId="0" applyNumberFormat="1" applyFont="1" applyFill="1" applyBorder="1" applyAlignment="1" applyProtection="1">
      <alignment horizontal="center" vertical="center"/>
      <protection locked="0" hidden="1"/>
    </xf>
    <xf numFmtId="1" fontId="1" fillId="11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11" borderId="2" xfId="0" applyNumberFormat="1" applyFont="1" applyFill="1" applyBorder="1" applyAlignment="1" applyProtection="1">
      <alignment horizontal="center" vertical="center" wrapText="1"/>
      <protection hidden="1"/>
    </xf>
    <xf numFmtId="3" fontId="1" fillId="5" borderId="2" xfId="0" applyNumberFormat="1" applyFont="1" applyFill="1" applyBorder="1" applyAlignment="1" applyProtection="1">
      <alignment horizontal="center" vertical="center" wrapText="1"/>
      <protection hidden="1"/>
    </xf>
    <xf numFmtId="10" fontId="1" fillId="11" borderId="2" xfId="0" applyNumberFormat="1" applyFont="1" applyFill="1" applyBorder="1" applyAlignment="1" applyProtection="1">
      <alignment horizontal="center" vertical="center" wrapText="1"/>
      <protection hidden="1"/>
    </xf>
    <xf numFmtId="3" fontId="9" fillId="5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/>
      <protection hidden="1"/>
    </xf>
    <xf numFmtId="0" fontId="16" fillId="3" borderId="3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4" fontId="0" fillId="6" borderId="33" xfId="0" applyNumberFormat="1" applyFill="1" applyBorder="1"/>
    <xf numFmtId="0" fontId="0" fillId="15" borderId="23" xfId="0" applyFill="1" applyBorder="1"/>
    <xf numFmtId="0" fontId="0" fillId="15" borderId="26" xfId="0" applyFill="1" applyBorder="1"/>
    <xf numFmtId="0" fontId="0" fillId="16" borderId="23" xfId="0" applyFill="1" applyBorder="1"/>
    <xf numFmtId="0" fontId="0" fillId="16" borderId="26" xfId="0" applyFill="1" applyBorder="1"/>
    <xf numFmtId="0" fontId="0" fillId="15" borderId="28" xfId="0" applyFill="1" applyBorder="1"/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3" fontId="5" fillId="4" borderId="0" xfId="0" applyNumberFormat="1" applyFont="1" applyFill="1"/>
    <xf numFmtId="0" fontId="5" fillId="4" borderId="0" xfId="0" applyFont="1" applyFill="1"/>
    <xf numFmtId="4" fontId="5" fillId="0" borderId="0" xfId="0" applyNumberFormat="1" applyFont="1" applyFill="1"/>
    <xf numFmtId="3" fontId="5" fillId="0" borderId="0" xfId="0" applyNumberFormat="1" applyFont="1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0" fillId="0" borderId="0" xfId="0" applyAlignment="1">
      <alignment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6" fillId="7" borderId="3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3" fontId="2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7" fillId="10" borderId="24" xfId="0" applyNumberFormat="1" applyFont="1" applyFill="1" applyBorder="1" applyAlignment="1" applyProtection="1">
      <alignment horizontal="center" vertical="center"/>
      <protection hidden="1"/>
    </xf>
    <xf numFmtId="2" fontId="7" fillId="10" borderId="16" xfId="0" applyNumberFormat="1" applyFont="1" applyFill="1" applyBorder="1" applyAlignment="1" applyProtection="1">
      <alignment horizontal="center" vertical="center"/>
      <protection hidden="1"/>
    </xf>
    <xf numFmtId="2" fontId="4" fillId="11" borderId="1" xfId="0" applyNumberFormat="1" applyFont="1" applyFill="1" applyBorder="1" applyAlignment="1" applyProtection="1">
      <alignment horizontal="left" vertical="center" wrapText="1"/>
      <protection hidden="1"/>
    </xf>
    <xf numFmtId="2" fontId="4" fillId="11" borderId="21" xfId="0" applyNumberFormat="1" applyFont="1" applyFill="1" applyBorder="1" applyAlignment="1" applyProtection="1">
      <alignment horizontal="left" vertical="center" wrapText="1"/>
      <protection hidden="1"/>
    </xf>
    <xf numFmtId="2" fontId="1" fillId="11" borderId="1" xfId="0" applyNumberFormat="1" applyFont="1" applyFill="1" applyBorder="1" applyAlignment="1" applyProtection="1">
      <alignment horizontal="left" vertical="center" wrapText="1"/>
      <protection hidden="1"/>
    </xf>
    <xf numFmtId="2" fontId="1" fillId="11" borderId="21" xfId="0" applyNumberFormat="1" applyFont="1" applyFill="1" applyBorder="1" applyAlignment="1" applyProtection="1">
      <alignment horizontal="left" vertical="center" wrapText="1"/>
      <protection hidden="1"/>
    </xf>
    <xf numFmtId="3" fontId="8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7" borderId="20" xfId="0" applyNumberFormat="1" applyFill="1" applyBorder="1" applyAlignment="1">
      <alignment horizontal="center" vertical="center" wrapText="1"/>
    </xf>
    <xf numFmtId="0" fontId="0" fillId="17" borderId="4" xfId="0" applyNumberForma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5" borderId="29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5" borderId="25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6" borderId="22" xfId="0" applyFill="1" applyBorder="1" applyAlignment="1">
      <alignment horizontal="left"/>
    </xf>
    <xf numFmtId="0" fontId="0" fillId="16" borderId="18" xfId="0" applyFill="1" applyBorder="1" applyAlignment="1">
      <alignment horizontal="left"/>
    </xf>
    <xf numFmtId="0" fontId="0" fillId="16" borderId="25" xfId="0" applyFill="1" applyBorder="1" applyAlignment="1">
      <alignment horizontal="left"/>
    </xf>
    <xf numFmtId="0" fontId="0" fillId="16" borderId="19" xfId="0" applyFill="1" applyBorder="1" applyAlignment="1">
      <alignment horizontal="left"/>
    </xf>
    <xf numFmtId="0" fontId="15" fillId="0" borderId="25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3" fontId="6" fillId="7" borderId="8" xfId="0" applyNumberFormat="1" applyFont="1" applyFill="1" applyBorder="1" applyAlignment="1" applyProtection="1">
      <alignment horizontal="center" vertical="center"/>
      <protection locked="0"/>
    </xf>
    <xf numFmtId="3" fontId="6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15" fillId="0" borderId="22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4" fontId="6" fillId="7" borderId="8" xfId="0" applyNumberFormat="1" applyFont="1" applyFill="1" applyBorder="1" applyAlignment="1" applyProtection="1">
      <alignment horizontal="center" vertical="center"/>
      <protection locked="0"/>
    </xf>
    <xf numFmtId="4" fontId="6" fillId="7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15" borderId="22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2" borderId="36" xfId="0" applyFill="1" applyBorder="1" applyAlignment="1">
      <alignment horizontal="left"/>
    </xf>
    <xf numFmtId="0" fontId="0" fillId="12" borderId="35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3" fontId="6" fillId="7" borderId="8" xfId="0" applyNumberFormat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190123</xdr:colOff>
      <xdr:row>14</xdr:row>
      <xdr:rowOff>72428</xdr:rowOff>
    </xdr:from>
    <xdr:to>
      <xdr:col>8</xdr:col>
      <xdr:colOff>9053</xdr:colOff>
      <xdr:row>27</xdr:row>
      <xdr:rowOff>126749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123" y="3376943"/>
          <a:ext cx="9234534" cy="311439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117694</xdr:colOff>
      <xdr:row>83</xdr:row>
      <xdr:rowOff>18106</xdr:rowOff>
    </xdr:from>
    <xdr:to>
      <xdr:col>7</xdr:col>
      <xdr:colOff>72427</xdr:colOff>
      <xdr:row>104</xdr:row>
      <xdr:rowOff>135800</xdr:rowOff>
    </xdr:to>
    <xdr:pic>
      <xdr:nvPicPr>
        <xdr:cNvPr id="4104" name="Picture 8">
          <a:extLst>
            <a:ext uri="{FF2B5EF4-FFF2-40B4-BE49-F238E27FC236}">
              <a16:creationId xmlns:a16="http://schemas.microsoft.com/office/drawing/2014/main" id="{00000000-0008-0000-01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694" y="17672363"/>
          <a:ext cx="8193386" cy="3920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199177</xdr:colOff>
      <xdr:row>42</xdr:row>
      <xdr:rowOff>54323</xdr:rowOff>
    </xdr:from>
    <xdr:to>
      <xdr:col>8</xdr:col>
      <xdr:colOff>9054</xdr:colOff>
      <xdr:row>53</xdr:row>
      <xdr:rowOff>63376</xdr:rowOff>
    </xdr:to>
    <xdr:pic>
      <xdr:nvPicPr>
        <xdr:cNvPr id="4106" name="Picture 10">
          <a:extLst>
            <a:ext uri="{FF2B5EF4-FFF2-40B4-BE49-F238E27FC236}">
              <a16:creationId xmlns:a16="http://schemas.microsoft.com/office/drawing/2014/main" id="{00000000-0008-0000-0100-00000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9177" y="9687210"/>
          <a:ext cx="9225481" cy="200081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108641</xdr:colOff>
      <xdr:row>110</xdr:row>
      <xdr:rowOff>217285</xdr:rowOff>
    </xdr:from>
    <xdr:to>
      <xdr:col>7</xdr:col>
      <xdr:colOff>63374</xdr:colOff>
      <xdr:row>132</xdr:row>
      <xdr:rowOff>126751</xdr:rowOff>
    </xdr:to>
    <xdr:pic>
      <xdr:nvPicPr>
        <xdr:cNvPr id="4108" name="Picture 12">
          <a:extLst>
            <a:ext uri="{FF2B5EF4-FFF2-40B4-BE49-F238E27FC236}">
              <a16:creationId xmlns:a16="http://schemas.microsoft.com/office/drawing/2014/main" id="{00000000-0008-0000-0100-00000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641" y="22977697"/>
          <a:ext cx="8193386" cy="394731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190124</xdr:colOff>
      <xdr:row>57</xdr:row>
      <xdr:rowOff>2</xdr:rowOff>
    </xdr:from>
    <xdr:to>
      <xdr:col>8</xdr:col>
      <xdr:colOff>63375</xdr:colOff>
      <xdr:row>79</xdr:row>
      <xdr:rowOff>81481</xdr:rowOff>
    </xdr:to>
    <xdr:pic>
      <xdr:nvPicPr>
        <xdr:cNvPr id="4110" name="Picture 14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124" y="12457570"/>
          <a:ext cx="9288855" cy="4445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rgb="FFC00000"/>
  </sheetPr>
  <dimension ref="A1:K16"/>
  <sheetViews>
    <sheetView workbookViewId="0">
      <selection activeCell="E18" sqref="E18"/>
    </sheetView>
  </sheetViews>
  <sheetFormatPr defaultRowHeight="15" x14ac:dyDescent="0.25"/>
  <cols>
    <col min="1" max="1" width="16.42578125" customWidth="1"/>
    <col min="2" max="2" width="85.85546875" customWidth="1"/>
    <col min="3" max="3" width="26.140625" customWidth="1"/>
    <col min="4" max="4" width="22.5703125" customWidth="1"/>
    <col min="6" max="6" width="9.140625" hidden="1" customWidth="1"/>
    <col min="7" max="7" width="28.28515625" hidden="1" customWidth="1"/>
    <col min="8" max="8" width="12.140625" hidden="1" customWidth="1"/>
    <col min="9" max="9" width="23" hidden="1" customWidth="1"/>
    <col min="10" max="10" width="9.140625" hidden="1" customWidth="1"/>
    <col min="11" max="12" width="0" hidden="1" customWidth="1"/>
  </cols>
  <sheetData>
    <row r="1" spans="1:11" ht="14.25" customHeight="1" x14ac:dyDescent="0.25">
      <c r="A1" s="4"/>
      <c r="B1" s="4"/>
      <c r="C1" s="4"/>
    </row>
    <row r="2" spans="1:11" ht="38.1" customHeight="1" x14ac:dyDescent="0.25">
      <c r="A2" s="4"/>
      <c r="B2" s="6" t="e">
        <f>#REF!</f>
        <v>#REF!</v>
      </c>
      <c r="C2" s="4"/>
    </row>
    <row r="3" spans="1:11" ht="14.25" customHeight="1" thickBot="1" x14ac:dyDescent="0.3">
      <c r="A3" s="4"/>
      <c r="B3" s="4"/>
      <c r="C3" s="4"/>
    </row>
    <row r="4" spans="1:11" ht="27.4" customHeight="1" thickTop="1" thickBot="1" x14ac:dyDescent="0.3">
      <c r="A4" s="65" t="s">
        <v>13</v>
      </c>
      <c r="B4" s="66"/>
      <c r="C4" s="18">
        <v>0</v>
      </c>
      <c r="D4" s="2"/>
      <c r="G4" s="7"/>
      <c r="H4" s="8" t="s">
        <v>17</v>
      </c>
      <c r="I4" s="8" t="s">
        <v>18</v>
      </c>
      <c r="J4" s="8" t="s">
        <v>19</v>
      </c>
      <c r="K4" s="9" t="s">
        <v>20</v>
      </c>
    </row>
    <row r="5" spans="1:11" ht="17.25" thickBot="1" x14ac:dyDescent="0.3">
      <c r="A5" s="67" t="s">
        <v>14</v>
      </c>
      <c r="B5" s="67"/>
      <c r="C5" s="17" t="str">
        <f>IFERROR(MROUND(C4/K5,100),"")</f>
        <v/>
      </c>
      <c r="D5" s="3"/>
      <c r="G5" s="10" t="s">
        <v>16</v>
      </c>
      <c r="H5" s="11" t="e">
        <f>#REF!</f>
        <v>#REF!</v>
      </c>
      <c r="I5" s="12" t="e">
        <f>#REF!</f>
        <v>#REF!</v>
      </c>
      <c r="J5" s="13" t="e">
        <f>#REF!</f>
        <v>#REF!</v>
      </c>
      <c r="K5" s="14" t="e">
        <f>(J5/1)+1</f>
        <v>#REF!</v>
      </c>
    </row>
    <row r="6" spans="1:11" ht="16.5" x14ac:dyDescent="0.25">
      <c r="A6" s="68" t="s">
        <v>15</v>
      </c>
      <c r="B6" s="68"/>
      <c r="C6" s="5" t="str">
        <f>IFERROR((C4)-(C5),"")</f>
        <v/>
      </c>
      <c r="D6" s="3"/>
    </row>
    <row r="7" spans="1:11" ht="19.5" thickBot="1" x14ac:dyDescent="0.3">
      <c r="A7" s="75" t="s">
        <v>23</v>
      </c>
      <c r="B7" s="75"/>
      <c r="C7" s="23" t="e">
        <f>#REF!-'Расчет суммы (корректировка РМ)'!C5</f>
        <v>#REF!</v>
      </c>
    </row>
    <row r="8" spans="1:11" ht="16.5" thickTop="1" thickBot="1" x14ac:dyDescent="0.3">
      <c r="A8" s="69" t="s">
        <v>21</v>
      </c>
      <c r="B8" s="70"/>
      <c r="C8" s="70"/>
      <c r="F8" s="15"/>
      <c r="G8" s="15"/>
      <c r="H8" s="15"/>
      <c r="I8" s="15"/>
      <c r="J8" s="16"/>
    </row>
    <row r="9" spans="1:11" ht="16.5" thickTop="1" thickBot="1" x14ac:dyDescent="0.3"/>
    <row r="10" spans="1:11" ht="22.15" customHeight="1" thickTop="1" thickBot="1" x14ac:dyDescent="0.3">
      <c r="A10" s="73" t="s">
        <v>2</v>
      </c>
      <c r="B10" s="74"/>
      <c r="C10" s="22" t="str">
        <f>IF(C6="","",#REF!)</f>
        <v/>
      </c>
    </row>
    <row r="11" spans="1:11" ht="22.15" customHeight="1" thickTop="1" thickBot="1" x14ac:dyDescent="0.3">
      <c r="A11" s="73" t="s">
        <v>12</v>
      </c>
      <c r="B11" s="74"/>
      <c r="C11" s="19" t="str">
        <f>IF(C6="","",#REF!)</f>
        <v/>
      </c>
    </row>
    <row r="12" spans="1:11" ht="22.15" customHeight="1" thickTop="1" thickBot="1" x14ac:dyDescent="0.3">
      <c r="A12" s="73" t="s">
        <v>3</v>
      </c>
      <c r="B12" s="74"/>
      <c r="C12" s="20" t="str">
        <f>IFERROR(CEILING(C4*(C10/12)/(1-POWER(1+C10/12,-C11)),1000),"")</f>
        <v/>
      </c>
    </row>
    <row r="13" spans="1:11" ht="22.15" customHeight="1" thickTop="1" thickBot="1" x14ac:dyDescent="0.3">
      <c r="A13" s="73" t="s">
        <v>4</v>
      </c>
      <c r="B13" s="74"/>
      <c r="C13" s="20" t="str">
        <f>IF(C6="","",#REF!)</f>
        <v/>
      </c>
    </row>
    <row r="14" spans="1:11" ht="5.65" customHeight="1" thickTop="1" thickBot="1" x14ac:dyDescent="0.3"/>
    <row r="15" spans="1:11" ht="38.450000000000003" customHeight="1" thickTop="1" thickBot="1" x14ac:dyDescent="0.3">
      <c r="A15" s="71" t="s">
        <v>22</v>
      </c>
      <c r="B15" s="72"/>
      <c r="C15" s="21" t="str">
        <f>IF(C6="","",(SUM(C12:C13)))</f>
        <v/>
      </c>
    </row>
    <row r="16" spans="1:11" ht="15.75" thickTop="1" x14ac:dyDescent="0.25"/>
  </sheetData>
  <sheetProtection password="8A3D" sheet="1" objects="1" scenarios="1"/>
  <mergeCells count="10">
    <mergeCell ref="A4:B4"/>
    <mergeCell ref="A5:B5"/>
    <mergeCell ref="A6:B6"/>
    <mergeCell ref="A8:C8"/>
    <mergeCell ref="A15:B15"/>
    <mergeCell ref="A10:B10"/>
    <mergeCell ref="A12:B12"/>
    <mergeCell ref="A11:B11"/>
    <mergeCell ref="A13:B13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6"/>
  <dimension ref="A2:O111"/>
  <sheetViews>
    <sheetView workbookViewId="0">
      <selection activeCell="K110" sqref="K110"/>
    </sheetView>
  </sheetViews>
  <sheetFormatPr defaultRowHeight="15" x14ac:dyDescent="0.25"/>
  <cols>
    <col min="1" max="17" width="18.5703125" customWidth="1"/>
  </cols>
  <sheetData>
    <row r="2" spans="1:3" ht="23.25" x14ac:dyDescent="0.3">
      <c r="A2" s="24" t="s">
        <v>24</v>
      </c>
      <c r="B2" s="25" t="s">
        <v>5</v>
      </c>
    </row>
    <row r="3" spans="1:3" ht="18.75" x14ac:dyDescent="0.3">
      <c r="B3" s="26"/>
    </row>
    <row r="4" spans="1:3" ht="18.75" x14ac:dyDescent="0.3">
      <c r="B4" s="27" t="s">
        <v>25</v>
      </c>
    </row>
    <row r="5" spans="1:3" ht="18.75" x14ac:dyDescent="0.3">
      <c r="B5" s="26"/>
    </row>
    <row r="6" spans="1:3" ht="18.75" x14ac:dyDescent="0.3">
      <c r="B6" s="27">
        <v>1</v>
      </c>
      <c r="C6" s="27" t="s">
        <v>26</v>
      </c>
    </row>
    <row r="7" spans="1:3" ht="18.75" x14ac:dyDescent="0.3">
      <c r="B7" s="27">
        <v>2</v>
      </c>
      <c r="C7" s="27" t="s">
        <v>27</v>
      </c>
    </row>
    <row r="8" spans="1:3" ht="18.75" x14ac:dyDescent="0.3">
      <c r="B8" s="26"/>
      <c r="C8" s="27" t="s">
        <v>28</v>
      </c>
    </row>
    <row r="9" spans="1:3" ht="18.75" x14ac:dyDescent="0.3">
      <c r="B9" s="27">
        <v>3</v>
      </c>
      <c r="C9" s="27" t="s">
        <v>29</v>
      </c>
    </row>
    <row r="10" spans="1:3" ht="18.75" x14ac:dyDescent="0.3">
      <c r="B10" s="27">
        <v>4</v>
      </c>
      <c r="C10" s="27" t="s">
        <v>0</v>
      </c>
    </row>
    <row r="11" spans="1:3" ht="18.75" x14ac:dyDescent="0.3">
      <c r="B11" s="27">
        <v>5</v>
      </c>
      <c r="C11" s="27" t="s">
        <v>30</v>
      </c>
    </row>
    <row r="12" spans="1:3" ht="18.75" x14ac:dyDescent="0.3">
      <c r="B12" s="27">
        <v>6</v>
      </c>
      <c r="C12" s="27" t="s">
        <v>1</v>
      </c>
    </row>
    <row r="13" spans="1:3" ht="18.75" x14ac:dyDescent="0.3">
      <c r="B13" s="27" t="s">
        <v>31</v>
      </c>
    </row>
    <row r="14" spans="1:3" ht="18.75" x14ac:dyDescent="0.3">
      <c r="B14" s="27" t="s">
        <v>32</v>
      </c>
    </row>
    <row r="15" spans="1:3" ht="18.75" x14ac:dyDescent="0.3">
      <c r="B15" s="27"/>
    </row>
    <row r="16" spans="1:3" ht="18.75" x14ac:dyDescent="0.3">
      <c r="B16" s="26"/>
    </row>
    <row r="17" spans="2:2" ht="18.75" x14ac:dyDescent="0.3">
      <c r="B17" s="26"/>
    </row>
    <row r="18" spans="2:2" ht="18.75" x14ac:dyDescent="0.3">
      <c r="B18" s="26"/>
    </row>
    <row r="19" spans="2:2" ht="18.75" x14ac:dyDescent="0.3">
      <c r="B19" s="26"/>
    </row>
    <row r="20" spans="2:2" ht="18.75" x14ac:dyDescent="0.3">
      <c r="B20" s="26"/>
    </row>
    <row r="21" spans="2:2" ht="18.75" x14ac:dyDescent="0.3">
      <c r="B21" s="26"/>
    </row>
    <row r="22" spans="2:2" ht="18.75" x14ac:dyDescent="0.3">
      <c r="B22" s="26"/>
    </row>
    <row r="23" spans="2:2" ht="18.75" x14ac:dyDescent="0.3">
      <c r="B23" s="26"/>
    </row>
    <row r="24" spans="2:2" ht="18.75" x14ac:dyDescent="0.3">
      <c r="B24" s="26"/>
    </row>
    <row r="25" spans="2:2" ht="18.75" x14ac:dyDescent="0.3">
      <c r="B25" s="26"/>
    </row>
    <row r="26" spans="2:2" ht="18.75" x14ac:dyDescent="0.3">
      <c r="B26" s="26"/>
    </row>
    <row r="27" spans="2:2" ht="18.75" x14ac:dyDescent="0.3">
      <c r="B27" s="26"/>
    </row>
    <row r="33" spans="1:14" ht="23.25" x14ac:dyDescent="0.3">
      <c r="A33" s="24" t="s">
        <v>33</v>
      </c>
      <c r="B33" s="28" t="s">
        <v>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8.75" x14ac:dyDescent="0.3">
      <c r="B34" s="27" t="s">
        <v>35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8.75" x14ac:dyDescent="0.3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8.75" x14ac:dyDescent="0.3">
      <c r="B36" s="29" t="s">
        <v>36</v>
      </c>
      <c r="C36" s="27"/>
      <c r="D36" s="27"/>
      <c r="E36" s="27"/>
    </row>
    <row r="37" spans="1:14" ht="18.75" x14ac:dyDescent="0.3">
      <c r="B37" s="29" t="s">
        <v>37</v>
      </c>
      <c r="C37" s="27"/>
      <c r="D37" s="27"/>
      <c r="E37" s="27"/>
    </row>
    <row r="38" spans="1:14" ht="18.75" x14ac:dyDescent="0.3">
      <c r="B38" s="29" t="s">
        <v>41</v>
      </c>
      <c r="C38" s="27"/>
      <c r="D38" s="27"/>
      <c r="E38" s="27"/>
    </row>
    <row r="39" spans="1:14" ht="18.75" x14ac:dyDescent="0.3">
      <c r="B39" s="29" t="s">
        <v>42</v>
      </c>
      <c r="C39" s="27"/>
      <c r="D39" s="27"/>
      <c r="E39" s="27" t="s">
        <v>38</v>
      </c>
    </row>
    <row r="40" spans="1:14" ht="18.75" x14ac:dyDescent="0.3">
      <c r="B40" s="29" t="s">
        <v>43</v>
      </c>
      <c r="C40" s="27"/>
      <c r="D40" s="27"/>
      <c r="E40" s="27"/>
    </row>
    <row r="41" spans="1:14" ht="18.75" x14ac:dyDescent="0.3">
      <c r="B41" s="29" t="s">
        <v>39</v>
      </c>
      <c r="C41" s="27"/>
      <c r="D41" s="27"/>
      <c r="E41" s="27"/>
    </row>
    <row r="55" spans="2:14" ht="18.75" x14ac:dyDescent="0.3">
      <c r="B55" s="29" t="s">
        <v>40</v>
      </c>
      <c r="C55" s="27"/>
      <c r="D55" s="27"/>
      <c r="E55" s="27"/>
      <c r="F55" s="27"/>
    </row>
    <row r="56" spans="2:14" ht="18.75" x14ac:dyDescent="0.3">
      <c r="B56" s="29" t="s">
        <v>44</v>
      </c>
      <c r="C56" s="27"/>
      <c r="D56" s="27"/>
      <c r="E56" s="27"/>
      <c r="F56" s="27"/>
    </row>
    <row r="60" spans="2:14" ht="18.75" x14ac:dyDescent="0.3">
      <c r="F60" s="27"/>
      <c r="G60" s="27"/>
      <c r="H60" s="27"/>
      <c r="I60" s="27"/>
      <c r="J60" s="27"/>
      <c r="K60" s="27"/>
      <c r="L60" s="27"/>
      <c r="M60" s="27"/>
      <c r="N60" s="27"/>
    </row>
    <row r="61" spans="2:14" ht="18.75" x14ac:dyDescent="0.3">
      <c r="F61" s="27"/>
      <c r="G61" s="27"/>
      <c r="H61" s="27"/>
      <c r="I61" s="27"/>
      <c r="J61" s="27"/>
      <c r="K61" s="27"/>
      <c r="L61" s="27"/>
      <c r="M61" s="27"/>
      <c r="N61" s="27"/>
    </row>
    <row r="62" spans="2:14" ht="18.75" x14ac:dyDescent="0.3">
      <c r="F62" s="27"/>
      <c r="G62" s="27"/>
      <c r="H62" s="27"/>
      <c r="I62" s="27"/>
      <c r="J62" s="27"/>
      <c r="K62" s="27"/>
      <c r="L62" s="27"/>
      <c r="M62" s="27"/>
      <c r="N62" s="27"/>
    </row>
    <row r="63" spans="2:14" ht="18.75" x14ac:dyDescent="0.3">
      <c r="F63" s="27"/>
      <c r="G63" s="27"/>
      <c r="H63" s="27"/>
      <c r="I63" s="27"/>
      <c r="J63" s="27"/>
      <c r="K63" s="27"/>
      <c r="L63" s="27"/>
      <c r="M63" s="27"/>
      <c r="N63" s="27"/>
    </row>
    <row r="64" spans="2:14" ht="18.75" x14ac:dyDescent="0.3">
      <c r="F64" s="27"/>
      <c r="G64" s="27"/>
      <c r="H64" s="27"/>
      <c r="I64" s="27"/>
      <c r="J64" s="27"/>
      <c r="K64" s="27"/>
      <c r="L64" s="27"/>
      <c r="M64" s="27"/>
      <c r="N64" s="27"/>
    </row>
    <row r="65" spans="2:14" ht="18.75" x14ac:dyDescent="0.3">
      <c r="F65" s="27"/>
      <c r="G65" s="27"/>
      <c r="H65" s="27"/>
      <c r="I65" s="27"/>
      <c r="J65" s="27"/>
      <c r="K65" s="27"/>
      <c r="L65" s="27"/>
      <c r="M65" s="27"/>
      <c r="N65" s="27"/>
    </row>
    <row r="66" spans="2:14" ht="18.75" x14ac:dyDescent="0.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81" spans="1:15" ht="18.75" x14ac:dyDescent="0.3"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8.75" x14ac:dyDescent="0.3">
      <c r="B82" s="29" t="s">
        <v>45</v>
      </c>
      <c r="G82" s="27"/>
      <c r="H82" s="27"/>
      <c r="I82" s="27"/>
      <c r="J82" s="27"/>
      <c r="K82" s="27"/>
      <c r="L82" s="27"/>
      <c r="M82" s="27"/>
      <c r="N82" s="27"/>
      <c r="O82" s="27"/>
    </row>
    <row r="86" spans="1:15" x14ac:dyDescent="0.25">
      <c r="A86" s="76"/>
      <c r="J86" s="76"/>
    </row>
    <row r="87" spans="1:15" x14ac:dyDescent="0.25">
      <c r="A87" s="76"/>
      <c r="J87" s="76"/>
    </row>
    <row r="107" spans="2:5" ht="18.75" x14ac:dyDescent="0.25">
      <c r="B107" s="29" t="s">
        <v>46</v>
      </c>
      <c r="C107" s="29"/>
      <c r="D107" s="29"/>
      <c r="E107" s="29"/>
    </row>
    <row r="108" spans="2:5" ht="18.75" x14ac:dyDescent="0.25">
      <c r="B108" s="29" t="s">
        <v>47</v>
      </c>
      <c r="C108" s="29"/>
      <c r="D108" s="29"/>
      <c r="E108" s="29"/>
    </row>
    <row r="109" spans="2:5" ht="18.75" x14ac:dyDescent="0.25">
      <c r="B109" s="29" t="s">
        <v>48</v>
      </c>
      <c r="C109" s="29"/>
      <c r="D109" s="29"/>
      <c r="E109" s="29"/>
    </row>
    <row r="110" spans="2:5" ht="18.75" x14ac:dyDescent="0.25">
      <c r="B110" s="29" t="s">
        <v>49</v>
      </c>
      <c r="C110" s="29"/>
      <c r="D110" s="29"/>
      <c r="E110" s="29"/>
    </row>
    <row r="111" spans="2:5" ht="18.75" x14ac:dyDescent="0.25">
      <c r="B111" s="29"/>
      <c r="C111" s="29"/>
      <c r="D111" s="29"/>
      <c r="E111" s="29"/>
    </row>
  </sheetData>
  <sheetProtection password="8A3D" sheet="1" objects="1" scenarios="1"/>
  <mergeCells count="2">
    <mergeCell ref="A86:A87"/>
    <mergeCell ref="J86:J8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X135"/>
  <sheetViews>
    <sheetView tabSelected="1" zoomScale="130" zoomScaleNormal="130" workbookViewId="0">
      <selection activeCell="D6" sqref="D6"/>
    </sheetView>
  </sheetViews>
  <sheetFormatPr defaultRowHeight="15" x14ac:dyDescent="0.25"/>
  <cols>
    <col min="1" max="1" width="7.140625" customWidth="1"/>
    <col min="2" max="2" width="15.28515625" customWidth="1"/>
    <col min="3" max="5" width="20.7109375" customWidth="1"/>
    <col min="6" max="6" width="11.140625" hidden="1" customWidth="1"/>
    <col min="7" max="7" width="3.42578125" style="1" hidden="1" customWidth="1"/>
    <col min="8" max="8" width="3" hidden="1" customWidth="1"/>
    <col min="9" max="9" width="11.5703125" hidden="1" customWidth="1"/>
    <col min="10" max="10" width="11.7109375" hidden="1" customWidth="1"/>
    <col min="11" max="12" width="13.7109375" hidden="1" customWidth="1"/>
    <col min="13" max="13" width="15.140625" hidden="1" customWidth="1"/>
    <col min="14" max="15" width="13.140625" hidden="1" customWidth="1"/>
    <col min="16" max="22" width="11.7109375" hidden="1" customWidth="1"/>
    <col min="23" max="24" width="21" hidden="1" customWidth="1"/>
  </cols>
  <sheetData>
    <row r="1" spans="1:24" ht="12.75" customHeight="1" thickBot="1" x14ac:dyDescent="0.3">
      <c r="A1" s="103" t="s">
        <v>6</v>
      </c>
      <c r="B1" s="104"/>
      <c r="C1" s="104"/>
      <c r="D1" s="104"/>
      <c r="E1" s="105"/>
      <c r="I1" s="81" t="s">
        <v>57</v>
      </c>
      <c r="J1" s="82"/>
      <c r="K1" s="82"/>
      <c r="L1" s="82"/>
      <c r="M1" s="82"/>
      <c r="N1" s="83"/>
    </row>
    <row r="2" spans="1:24" ht="16.5" customHeight="1" thickBot="1" x14ac:dyDescent="0.3">
      <c r="A2" s="119" t="s">
        <v>80</v>
      </c>
      <c r="B2" s="120"/>
      <c r="C2" s="121"/>
      <c r="D2" s="122">
        <v>44747</v>
      </c>
      <c r="E2" s="123"/>
      <c r="I2" s="116" t="s">
        <v>58</v>
      </c>
      <c r="J2" s="117"/>
      <c r="K2" s="117"/>
      <c r="L2" s="117"/>
      <c r="M2" s="118"/>
      <c r="N2" s="39">
        <f>D2</f>
        <v>44747</v>
      </c>
      <c r="O2" s="30">
        <f>DATE(YEAR(Дата_выдачи_кредита),MONTH(Дата_выдачи_кредита),DAY(N4))</f>
        <v>44747</v>
      </c>
    </row>
    <row r="3" spans="1:24" ht="12.95" hidden="1" customHeight="1" thickBot="1" x14ac:dyDescent="0.3">
      <c r="A3" s="99" t="s">
        <v>84</v>
      </c>
      <c r="B3" s="100"/>
      <c r="C3" s="100"/>
      <c r="D3" s="62">
        <f>SUM(D13:D132)*360/SUM(W13:W132)</f>
        <v>0.28601629860301575</v>
      </c>
      <c r="E3" s="63">
        <f>SUM(D13:D132)*360/SUM(X13:X132)</f>
        <v>0.29899743329794076</v>
      </c>
      <c r="I3" s="113" t="s">
        <v>52</v>
      </c>
      <c r="J3" s="113"/>
      <c r="K3" s="113"/>
      <c r="L3" s="113"/>
      <c r="M3" s="113"/>
      <c r="N3" s="30">
        <f>Дата_выдачи_кредита+Кол_во_Льготных_дней</f>
        <v>44747</v>
      </c>
    </row>
    <row r="4" spans="1:24" ht="12.95" customHeight="1" thickBot="1" x14ac:dyDescent="0.3">
      <c r="A4" s="106" t="s">
        <v>53</v>
      </c>
      <c r="B4" s="107"/>
      <c r="C4" s="108"/>
      <c r="D4" s="109">
        <v>3000</v>
      </c>
      <c r="E4" s="110"/>
      <c r="I4" s="114" t="s">
        <v>51</v>
      </c>
      <c r="J4" s="115"/>
      <c r="K4" s="115"/>
      <c r="L4" s="115"/>
      <c r="M4" s="115"/>
      <c r="N4" s="40">
        <f>DAY(Дата_выдачи_кредита)</f>
        <v>5</v>
      </c>
      <c r="O4" s="60"/>
    </row>
    <row r="5" spans="1:24" ht="12.95" customHeight="1" thickBot="1" x14ac:dyDescent="0.3">
      <c r="A5" s="124" t="s">
        <v>54</v>
      </c>
      <c r="B5" s="125"/>
      <c r="C5" s="126"/>
      <c r="D5" s="95">
        <v>36</v>
      </c>
      <c r="E5" s="96"/>
      <c r="I5" s="84" t="s">
        <v>70</v>
      </c>
      <c r="J5" s="85"/>
      <c r="K5" s="85"/>
      <c r="L5" s="85"/>
      <c r="M5" s="85"/>
      <c r="N5" s="44">
        <f>IF((N6-Платежная_дата&lt;0),0,N6-Платежная_дата)</f>
        <v>25</v>
      </c>
    </row>
    <row r="6" spans="1:24" ht="12.95" customHeight="1" thickBot="1" x14ac:dyDescent="0.3">
      <c r="A6" s="124" t="s">
        <v>81</v>
      </c>
      <c r="B6" s="125"/>
      <c r="C6" s="126"/>
      <c r="D6" s="64">
        <v>0.29899999999999999</v>
      </c>
      <c r="E6" s="64">
        <v>0.29899999999999999</v>
      </c>
      <c r="I6" s="86" t="s">
        <v>67</v>
      </c>
      <c r="J6" s="87"/>
      <c r="K6" s="87"/>
      <c r="L6" s="87"/>
      <c r="M6" s="87"/>
      <c r="N6" s="41">
        <v>30</v>
      </c>
    </row>
    <row r="7" spans="1:24" ht="12.95" customHeight="1" thickBot="1" x14ac:dyDescent="0.3">
      <c r="A7" s="92" t="s">
        <v>55</v>
      </c>
      <c r="B7" s="93"/>
      <c r="C7" s="94"/>
      <c r="D7" s="95">
        <v>0</v>
      </c>
      <c r="E7" s="96"/>
      <c r="I7" s="88" t="s">
        <v>68</v>
      </c>
      <c r="J7" s="89"/>
      <c r="K7" s="89"/>
      <c r="L7" s="89"/>
      <c r="M7" s="89"/>
      <c r="N7" s="42">
        <f>IF((DAY(Дата_второй_ставки))=1,Платежная_дата,IF((DAY(Дата_второй_ставки-1))&gt;30,30,DAY(Дата_второй_ставки-1)))</f>
        <v>4</v>
      </c>
    </row>
    <row r="8" spans="1:24" ht="12.95" customHeight="1" thickBot="1" x14ac:dyDescent="0.3">
      <c r="A8" s="124" t="s">
        <v>79</v>
      </c>
      <c r="B8" s="125"/>
      <c r="C8" s="126"/>
      <c r="D8" s="127">
        <v>0</v>
      </c>
      <c r="E8" s="128"/>
      <c r="I8" s="90" t="s">
        <v>69</v>
      </c>
      <c r="J8" s="91"/>
      <c r="K8" s="91"/>
      <c r="L8" s="91"/>
      <c r="M8" s="91"/>
      <c r="N8" s="43">
        <f>IF((N6-N7)&lt;0,0,N6-N7)</f>
        <v>26</v>
      </c>
    </row>
    <row r="9" spans="1:24" ht="3" customHeight="1" thickBot="1" x14ac:dyDescent="0.3">
      <c r="A9" s="57"/>
      <c r="B9" s="57"/>
      <c r="C9" s="57"/>
      <c r="D9" s="57"/>
      <c r="E9" s="57"/>
    </row>
    <row r="10" spans="1:24" ht="14.1" customHeight="1" thickBot="1" x14ac:dyDescent="0.3">
      <c r="A10" s="129" t="s">
        <v>7</v>
      </c>
      <c r="B10" s="130"/>
      <c r="C10" s="58">
        <f>SUM(C13:C132)</f>
        <v>3000</v>
      </c>
      <c r="D10" s="59">
        <f>SUM(D13:D132)</f>
        <v>1578.84</v>
      </c>
      <c r="E10" s="59">
        <f>SUM(E13:E132)</f>
        <v>4578.8400000000011</v>
      </c>
    </row>
    <row r="11" spans="1:24" ht="21" customHeight="1" thickBot="1" x14ac:dyDescent="0.3">
      <c r="A11" s="57"/>
      <c r="B11" s="57"/>
      <c r="C11" s="57"/>
      <c r="D11" s="57"/>
      <c r="E11" s="57"/>
      <c r="I11" s="34" t="s">
        <v>61</v>
      </c>
      <c r="J11" s="111" t="s">
        <v>62</v>
      </c>
      <c r="K11" s="112"/>
      <c r="L11" s="81" t="s">
        <v>64</v>
      </c>
      <c r="M11" s="83"/>
      <c r="N11" s="97" t="s">
        <v>66</v>
      </c>
      <c r="O11" s="101" t="s">
        <v>72</v>
      </c>
      <c r="P11" s="77" t="s">
        <v>73</v>
      </c>
      <c r="Q11" s="79" t="s">
        <v>71</v>
      </c>
      <c r="R11" s="81" t="s">
        <v>74</v>
      </c>
      <c r="S11" s="82"/>
      <c r="T11" s="82"/>
      <c r="U11" s="83"/>
    </row>
    <row r="12" spans="1:24" ht="31.5" customHeight="1" thickBot="1" x14ac:dyDescent="0.3">
      <c r="A12" s="32" t="s">
        <v>8</v>
      </c>
      <c r="B12" s="32" t="s">
        <v>50</v>
      </c>
      <c r="C12" s="33" t="s">
        <v>9</v>
      </c>
      <c r="D12" s="33" t="s">
        <v>10</v>
      </c>
      <c r="E12" s="33" t="s">
        <v>11</v>
      </c>
      <c r="I12" s="35" t="s">
        <v>60</v>
      </c>
      <c r="J12" s="35" t="s">
        <v>56</v>
      </c>
      <c r="K12" s="36" t="s">
        <v>59</v>
      </c>
      <c r="L12" s="37" t="s">
        <v>65</v>
      </c>
      <c r="M12" s="38" t="s">
        <v>63</v>
      </c>
      <c r="N12" s="98"/>
      <c r="O12" s="102"/>
      <c r="P12" s="78"/>
      <c r="Q12" s="80"/>
      <c r="R12" s="45" t="s">
        <v>75</v>
      </c>
      <c r="S12" s="31" t="s">
        <v>76</v>
      </c>
      <c r="T12" s="46" t="s">
        <v>77</v>
      </c>
      <c r="U12" s="46" t="s">
        <v>78</v>
      </c>
      <c r="W12" s="61" t="s">
        <v>82</v>
      </c>
      <c r="X12" s="61" t="s">
        <v>83</v>
      </c>
    </row>
    <row r="13" spans="1:24" ht="9.9499999999999993" customHeight="1" x14ac:dyDescent="0.25">
      <c r="A13" s="54">
        <f>IF(Срок_Кредита&lt;1,"",1)</f>
        <v>1</v>
      </c>
      <c r="B13" s="55">
        <f>IFERROR((DATE(YEAR(O2),MONTH(O2)+1,DAY(O2))),"")</f>
        <v>44778</v>
      </c>
      <c r="C13" s="56">
        <f>IF(A13="","",IF(A13&lt;=Отсрочка_ОД,0,ROUND((I13*(Основная_Ставка/12)/(1-POWER(1+Основная_Ставка/12,-Срок_Кредита))),2)-ROUND((I13*Основная_Ставка/12),2)))</f>
        <v>52.44</v>
      </c>
      <c r="D13" s="56">
        <f t="shared" ref="D13:D44" si="0">IF(A13="","",Q13)</f>
        <v>62.29</v>
      </c>
      <c r="E13" s="56">
        <f>IF(A13="","",C13+D13)</f>
        <v>114.72999999999999</v>
      </c>
      <c r="I13" s="47">
        <f>IF(A13="","",Сумма_Кредита)</f>
        <v>3000</v>
      </c>
      <c r="J13" s="47">
        <f>IF(A13="","",I13)</f>
        <v>3000</v>
      </c>
      <c r="K13" s="47">
        <f>IF(A13="","",J13)</f>
        <v>3000</v>
      </c>
      <c r="L13" s="48">
        <f>IF(A13="","",DATE(YEAR(Дата_выдачи_кредита),MONTH(Дата_выдачи_кредита),DAY(Дата_выдачи_кредита)))</f>
        <v>44747</v>
      </c>
      <c r="M13" s="48">
        <f t="shared" ref="M13:M44" si="1">IF(A13="","",EOMONTH(L13,0))</f>
        <v>44773</v>
      </c>
      <c r="N13" s="49">
        <f>IF(A13="","",IF(A13=Срок_Кредита,4,IF(Кол_во_Льготных_дней=0,1,IF(Дата_второй_ставки&gt;M13,1,IF(Дата_второй_ставки&gt;=L13,IF(Дата_второй_ставки&lt;=M13,2),3)))))</f>
        <v>1</v>
      </c>
      <c r="O13" s="50">
        <f>IF(A13="","",IF(N13=1,$N$5,IF(N13=2,Кол_во_Льготных_дней-1,0)))</f>
        <v>25</v>
      </c>
      <c r="P13" s="51">
        <f>IF(A13="","",N5-O13)</f>
        <v>0</v>
      </c>
      <c r="Q13" s="47">
        <f>IF(A13="","",ROUND((J13*Льготная_Ставка*O13/360)+(K13*Основная_Ставка*P13/360),2))</f>
        <v>62.29</v>
      </c>
      <c r="R13" s="49"/>
      <c r="S13" s="49"/>
      <c r="T13" s="49"/>
      <c r="U13" s="47"/>
      <c r="W13" s="49">
        <f>IFERROR(J13*30,0)</f>
        <v>90000</v>
      </c>
      <c r="X13" s="49">
        <f>IFERROR(K13*30,0)</f>
        <v>90000</v>
      </c>
    </row>
    <row r="14" spans="1:24" ht="9.9499999999999993" customHeight="1" x14ac:dyDescent="0.25">
      <c r="A14" s="54">
        <f>IF(Срок_Кредита&lt;2,"",2)</f>
        <v>2</v>
      </c>
      <c r="B14" s="55">
        <f>IF(A14="","",IFERROR((DATE(YEAR(B13),MONTH(B13)+1,DAY(B13))),""))</f>
        <v>44809</v>
      </c>
      <c r="C14" s="56">
        <f t="shared" ref="C14:C45" si="2">IF(A14="","",IF(A14&lt;=Отсрочка_ОД,0,ROUND((I14*(Основная_Ставка/12)/(1-POWER(1+Основная_Ставка/12,-(Срок_Кредита-A13)))),2)-ROUND((I14*Основная_Ставка/12),2)))</f>
        <v>53.75</v>
      </c>
      <c r="D14" s="56">
        <f t="shared" si="0"/>
        <v>73.66</v>
      </c>
      <c r="E14" s="56">
        <f t="shared" ref="E14:E77" si="3">IF(A14="","",C14+D14)</f>
        <v>127.41</v>
      </c>
      <c r="I14" s="47">
        <f t="shared" ref="I14:I45" si="4">IF(A14="","",I13-C13)</f>
        <v>2947.56</v>
      </c>
      <c r="J14" s="52">
        <f t="shared" ref="J14:J45" si="5">IF(A14="","",K13)</f>
        <v>3000</v>
      </c>
      <c r="K14" s="52">
        <f t="shared" ref="K14:K45" si="6">IF(A14="","",I14)</f>
        <v>2947.56</v>
      </c>
      <c r="L14" s="48">
        <f t="shared" ref="L14:L45" si="7">IF(A14="","",DATE(YEAR(Дата_выдачи_кредита),MONTH(Дата_выдачи_кредита)+A13,DAY(1)))</f>
        <v>44774</v>
      </c>
      <c r="M14" s="48">
        <f t="shared" si="1"/>
        <v>44804</v>
      </c>
      <c r="N14" s="49">
        <f t="shared" ref="N14:N45" si="8">IF(A14="","",IF(A14=Срок_Кредита,4,IF(Кол_во_Льготных_дней=0,3,IF(Дата_второй_ставки&gt;=M14,1,IF(Дата_второй_ставки&gt;L14,IF(Дата_второй_ставки&lt;M14,2),3)))))</f>
        <v>3</v>
      </c>
      <c r="O14" s="53">
        <f t="shared" ref="O14:O45" si="9">IF(A14="","",IF(N14=1,Платежная_дата,IF(N14=2,$N$7,Платежная_дата)))</f>
        <v>5</v>
      </c>
      <c r="P14" s="49">
        <f>IF(A14="","",IF(N14=1,$N$5,IF(N14=2,$N$8,$N$5)))</f>
        <v>25</v>
      </c>
      <c r="Q14" s="47">
        <f t="shared" ref="Q14:Q45" si="10">IF(A14="","",IF(N14=1,R14,IF(N14=2,S14,IF(N14=3,T14,IF(N14=4,U14)))))</f>
        <v>73.66</v>
      </c>
      <c r="R14" s="47">
        <f t="shared" ref="R14:R45" si="11">IF(A14="","",ROUND((J14*Льготная_Ставка*O14/360)+(K14*Льготная_Ставка*P14/360),2))</f>
        <v>73.66</v>
      </c>
      <c r="S14" s="47">
        <f t="shared" ref="S14:S45" si="12">IF(A14="","",IF($N$7&lt;Платежная_дата,(ROUND((J14*Льготная_Ставка*$N$7/360)+(J14*Основная_Ставка*(Платежная_дата-$N$7)/360)+(K14*Основная_Ставка*$N$5/360),2)),IF($N$7=Платежная_дата,(ROUND((J14*Льготная_Ставка*Платежная_дата/360)+(K14*Основная_Ставка*$N$5/360),2)),IF($N$7&gt;Платежная_дата,(ROUND((J14*Льготная_Ставка*Платежная_дата/360)+(K14*Льготная_Ставка*($N$7-Платежная_дата)/360)+(K14*Основная_Ставка*$N$8/360),2))))))</f>
        <v>73.66</v>
      </c>
      <c r="T14" s="47">
        <f t="shared" ref="T14:T45" si="13">IF(A14="","",ROUND((J14*Основная_Ставка*O14/360)+(K14*Основная_Ставка*P14/360),2))</f>
        <v>73.66</v>
      </c>
      <c r="U14" s="47">
        <f t="shared" ref="U14:U45" si="14">IF(A14="","",ROUND((J14*Основная_Ставка*O14/360)+(K14*Основная_Ставка*P14/360)+(K14*Основная_Ставка*Платежная_дата/360),2))</f>
        <v>85.9</v>
      </c>
      <c r="W14" s="49">
        <f t="shared" ref="W14:W77" si="15">IFERROR(J14*30,0)</f>
        <v>90000</v>
      </c>
      <c r="X14" s="49">
        <f t="shared" ref="X14:X77" si="16">IFERROR(K14*30,0)</f>
        <v>88426.8</v>
      </c>
    </row>
    <row r="15" spans="1:24" ht="9.9499999999999993" customHeight="1" x14ac:dyDescent="0.25">
      <c r="A15" s="54">
        <f>IF(Срок_Кредита&lt;3,"",3)</f>
        <v>3</v>
      </c>
      <c r="B15" s="55">
        <f t="shared" ref="B15:B78" si="17">IF(A15="","",IFERROR((DATE(YEAR(B14),MONTH(B14)+1,DAY(B14))),""))</f>
        <v>44839</v>
      </c>
      <c r="C15" s="56">
        <f t="shared" si="2"/>
        <v>55.09</v>
      </c>
      <c r="D15" s="56">
        <f t="shared" si="0"/>
        <v>72.33</v>
      </c>
      <c r="E15" s="56">
        <f t="shared" si="3"/>
        <v>127.42</v>
      </c>
      <c r="I15" s="47">
        <f t="shared" si="4"/>
        <v>2893.81</v>
      </c>
      <c r="J15" s="52">
        <f t="shared" si="5"/>
        <v>2947.56</v>
      </c>
      <c r="K15" s="52">
        <f t="shared" si="6"/>
        <v>2893.81</v>
      </c>
      <c r="L15" s="48">
        <f t="shared" si="7"/>
        <v>44805</v>
      </c>
      <c r="M15" s="48">
        <f t="shared" si="1"/>
        <v>44834</v>
      </c>
      <c r="N15" s="49">
        <f t="shared" si="8"/>
        <v>3</v>
      </c>
      <c r="O15" s="53">
        <f t="shared" si="9"/>
        <v>5</v>
      </c>
      <c r="P15" s="49">
        <f t="shared" ref="P15:P78" si="18">IF(A15="","",IF(N15=1,$N$5,IF(N15=2,$N$8,$N$5)))</f>
        <v>25</v>
      </c>
      <c r="Q15" s="47">
        <f t="shared" si="10"/>
        <v>72.33</v>
      </c>
      <c r="R15" s="47">
        <f t="shared" si="11"/>
        <v>72.33</v>
      </c>
      <c r="S15" s="47">
        <f t="shared" si="12"/>
        <v>72.33</v>
      </c>
      <c r="T15" s="47">
        <f t="shared" si="13"/>
        <v>72.33</v>
      </c>
      <c r="U15" s="47">
        <f t="shared" si="14"/>
        <v>84.34</v>
      </c>
      <c r="W15" s="49">
        <f t="shared" si="15"/>
        <v>88426.8</v>
      </c>
      <c r="X15" s="49">
        <f t="shared" si="16"/>
        <v>86814.3</v>
      </c>
    </row>
    <row r="16" spans="1:24" ht="9.9499999999999993" customHeight="1" x14ac:dyDescent="0.25">
      <c r="A16" s="54">
        <f>IF(Срок_Кредита&lt;4,"",4)</f>
        <v>4</v>
      </c>
      <c r="B16" s="55">
        <f t="shared" si="17"/>
        <v>44870</v>
      </c>
      <c r="C16" s="56">
        <f t="shared" si="2"/>
        <v>56.459999999999994</v>
      </c>
      <c r="D16" s="56">
        <f t="shared" si="0"/>
        <v>70.959999999999994</v>
      </c>
      <c r="E16" s="56">
        <f t="shared" si="3"/>
        <v>127.41999999999999</v>
      </c>
      <c r="I16" s="47">
        <f t="shared" si="4"/>
        <v>2838.72</v>
      </c>
      <c r="J16" s="52">
        <f t="shared" si="5"/>
        <v>2893.81</v>
      </c>
      <c r="K16" s="52">
        <f t="shared" si="6"/>
        <v>2838.72</v>
      </c>
      <c r="L16" s="48">
        <f t="shared" si="7"/>
        <v>44835</v>
      </c>
      <c r="M16" s="48">
        <f t="shared" si="1"/>
        <v>44865</v>
      </c>
      <c r="N16" s="49">
        <f t="shared" si="8"/>
        <v>3</v>
      </c>
      <c r="O16" s="53">
        <f t="shared" si="9"/>
        <v>5</v>
      </c>
      <c r="P16" s="49">
        <f t="shared" si="18"/>
        <v>25</v>
      </c>
      <c r="Q16" s="47">
        <f t="shared" si="10"/>
        <v>70.959999999999994</v>
      </c>
      <c r="R16" s="47">
        <f t="shared" si="11"/>
        <v>70.959999999999994</v>
      </c>
      <c r="S16" s="47">
        <f t="shared" si="12"/>
        <v>70.959999999999994</v>
      </c>
      <c r="T16" s="47">
        <f t="shared" si="13"/>
        <v>70.959999999999994</v>
      </c>
      <c r="U16" s="47">
        <f t="shared" si="14"/>
        <v>82.75</v>
      </c>
      <c r="W16" s="49">
        <f t="shared" si="15"/>
        <v>86814.3</v>
      </c>
      <c r="X16" s="49">
        <f t="shared" si="16"/>
        <v>85161.599999999991</v>
      </c>
    </row>
    <row r="17" spans="1:24" ht="9.9499999999999993" customHeight="1" x14ac:dyDescent="0.25">
      <c r="A17" s="54">
        <f>IF(Срок_Кредита&lt;5,"",5)</f>
        <v>5</v>
      </c>
      <c r="B17" s="55">
        <f t="shared" si="17"/>
        <v>44900</v>
      </c>
      <c r="C17" s="56">
        <f t="shared" si="2"/>
        <v>57.870000000000005</v>
      </c>
      <c r="D17" s="56">
        <f t="shared" si="0"/>
        <v>69.56</v>
      </c>
      <c r="E17" s="56">
        <f t="shared" si="3"/>
        <v>127.43</v>
      </c>
      <c r="I17" s="47">
        <f t="shared" si="4"/>
        <v>2782.2599999999998</v>
      </c>
      <c r="J17" s="52">
        <f t="shared" si="5"/>
        <v>2838.72</v>
      </c>
      <c r="K17" s="52">
        <f t="shared" si="6"/>
        <v>2782.2599999999998</v>
      </c>
      <c r="L17" s="48">
        <f t="shared" si="7"/>
        <v>44866</v>
      </c>
      <c r="M17" s="48">
        <f t="shared" si="1"/>
        <v>44895</v>
      </c>
      <c r="N17" s="49">
        <f t="shared" si="8"/>
        <v>3</v>
      </c>
      <c r="O17" s="53">
        <f t="shared" si="9"/>
        <v>5</v>
      </c>
      <c r="P17" s="49">
        <f t="shared" si="18"/>
        <v>25</v>
      </c>
      <c r="Q17" s="47">
        <f t="shared" si="10"/>
        <v>69.56</v>
      </c>
      <c r="R17" s="47">
        <f t="shared" si="11"/>
        <v>69.56</v>
      </c>
      <c r="S17" s="47">
        <f t="shared" si="12"/>
        <v>69.56</v>
      </c>
      <c r="T17" s="47">
        <f t="shared" si="13"/>
        <v>69.56</v>
      </c>
      <c r="U17" s="47">
        <f t="shared" si="14"/>
        <v>81.11</v>
      </c>
      <c r="W17" s="49">
        <f t="shared" si="15"/>
        <v>85161.599999999991</v>
      </c>
      <c r="X17" s="49">
        <f t="shared" si="16"/>
        <v>83467.799999999988</v>
      </c>
    </row>
    <row r="18" spans="1:24" ht="9.9499999999999993" customHeight="1" x14ac:dyDescent="0.25">
      <c r="A18" s="54">
        <f>IF(Срок_Кредита&lt;6,"",6)</f>
        <v>6</v>
      </c>
      <c r="B18" s="55">
        <f t="shared" si="17"/>
        <v>44931</v>
      </c>
      <c r="C18" s="56">
        <f t="shared" si="2"/>
        <v>59.31</v>
      </c>
      <c r="D18" s="56">
        <f t="shared" si="0"/>
        <v>68.12</v>
      </c>
      <c r="E18" s="56">
        <f t="shared" si="3"/>
        <v>127.43</v>
      </c>
      <c r="I18" s="47">
        <f t="shared" si="4"/>
        <v>2724.39</v>
      </c>
      <c r="J18" s="52">
        <f t="shared" si="5"/>
        <v>2782.2599999999998</v>
      </c>
      <c r="K18" s="52">
        <f t="shared" si="6"/>
        <v>2724.39</v>
      </c>
      <c r="L18" s="48">
        <f t="shared" si="7"/>
        <v>44896</v>
      </c>
      <c r="M18" s="48">
        <f t="shared" si="1"/>
        <v>44926</v>
      </c>
      <c r="N18" s="49">
        <f t="shared" si="8"/>
        <v>3</v>
      </c>
      <c r="O18" s="53">
        <f t="shared" si="9"/>
        <v>5</v>
      </c>
      <c r="P18" s="49">
        <f t="shared" si="18"/>
        <v>25</v>
      </c>
      <c r="Q18" s="47">
        <f t="shared" si="10"/>
        <v>68.12</v>
      </c>
      <c r="R18" s="47">
        <f t="shared" si="11"/>
        <v>68.12</v>
      </c>
      <c r="S18" s="47">
        <f t="shared" si="12"/>
        <v>68.12</v>
      </c>
      <c r="T18" s="47">
        <f t="shared" si="13"/>
        <v>68.12</v>
      </c>
      <c r="U18" s="47">
        <f t="shared" si="14"/>
        <v>79.44</v>
      </c>
      <c r="W18" s="49">
        <f t="shared" si="15"/>
        <v>83467.799999999988</v>
      </c>
      <c r="X18" s="49">
        <f t="shared" si="16"/>
        <v>81731.7</v>
      </c>
    </row>
    <row r="19" spans="1:24" ht="9.9499999999999993" customHeight="1" x14ac:dyDescent="0.25">
      <c r="A19" s="54">
        <f>IF(Срок_Кредита&lt;7,"",7)</f>
        <v>7</v>
      </c>
      <c r="B19" s="55">
        <f t="shared" si="17"/>
        <v>44962</v>
      </c>
      <c r="C19" s="56">
        <f t="shared" si="2"/>
        <v>60.789999999999992</v>
      </c>
      <c r="D19" s="56">
        <f t="shared" si="0"/>
        <v>66.650000000000006</v>
      </c>
      <c r="E19" s="56">
        <f t="shared" si="3"/>
        <v>127.44</v>
      </c>
      <c r="I19" s="47">
        <f t="shared" si="4"/>
        <v>2665.08</v>
      </c>
      <c r="J19" s="52">
        <f t="shared" si="5"/>
        <v>2724.39</v>
      </c>
      <c r="K19" s="52">
        <f t="shared" si="6"/>
        <v>2665.08</v>
      </c>
      <c r="L19" s="48">
        <f t="shared" si="7"/>
        <v>44927</v>
      </c>
      <c r="M19" s="48">
        <f t="shared" si="1"/>
        <v>44957</v>
      </c>
      <c r="N19" s="49">
        <f t="shared" si="8"/>
        <v>3</v>
      </c>
      <c r="O19" s="53">
        <f t="shared" si="9"/>
        <v>5</v>
      </c>
      <c r="P19" s="49">
        <f t="shared" si="18"/>
        <v>25</v>
      </c>
      <c r="Q19" s="47">
        <f t="shared" si="10"/>
        <v>66.650000000000006</v>
      </c>
      <c r="R19" s="47">
        <f t="shared" si="11"/>
        <v>66.650000000000006</v>
      </c>
      <c r="S19" s="47">
        <f t="shared" si="12"/>
        <v>66.650000000000006</v>
      </c>
      <c r="T19" s="47">
        <f t="shared" si="13"/>
        <v>66.650000000000006</v>
      </c>
      <c r="U19" s="47">
        <f t="shared" si="14"/>
        <v>77.72</v>
      </c>
      <c r="W19" s="49">
        <f t="shared" si="15"/>
        <v>81731.7</v>
      </c>
      <c r="X19" s="49">
        <f t="shared" si="16"/>
        <v>79952.399999999994</v>
      </c>
    </row>
    <row r="20" spans="1:24" ht="9.9499999999999993" customHeight="1" x14ac:dyDescent="0.25">
      <c r="A20" s="54">
        <f>IF(Срок_Кредита&lt;8,"",8)</f>
        <v>8</v>
      </c>
      <c r="B20" s="55">
        <f t="shared" si="17"/>
        <v>44990</v>
      </c>
      <c r="C20" s="56">
        <f t="shared" si="2"/>
        <v>62.3</v>
      </c>
      <c r="D20" s="56">
        <f t="shared" si="0"/>
        <v>65.14</v>
      </c>
      <c r="E20" s="56">
        <f t="shared" si="3"/>
        <v>127.44</v>
      </c>
      <c r="I20" s="47">
        <f t="shared" si="4"/>
        <v>2604.29</v>
      </c>
      <c r="J20" s="52">
        <f t="shared" si="5"/>
        <v>2665.08</v>
      </c>
      <c r="K20" s="52">
        <f t="shared" si="6"/>
        <v>2604.29</v>
      </c>
      <c r="L20" s="48">
        <f t="shared" si="7"/>
        <v>44958</v>
      </c>
      <c r="M20" s="48">
        <f t="shared" si="1"/>
        <v>44985</v>
      </c>
      <c r="N20" s="49">
        <f t="shared" si="8"/>
        <v>3</v>
      </c>
      <c r="O20" s="53">
        <f t="shared" si="9"/>
        <v>5</v>
      </c>
      <c r="P20" s="49">
        <f t="shared" si="18"/>
        <v>25</v>
      </c>
      <c r="Q20" s="47">
        <f t="shared" si="10"/>
        <v>65.14</v>
      </c>
      <c r="R20" s="47">
        <f t="shared" si="11"/>
        <v>65.14</v>
      </c>
      <c r="S20" s="47">
        <f t="shared" si="12"/>
        <v>65.14</v>
      </c>
      <c r="T20" s="47">
        <f t="shared" si="13"/>
        <v>65.14</v>
      </c>
      <c r="U20" s="47">
        <f t="shared" si="14"/>
        <v>75.959999999999994</v>
      </c>
      <c r="W20" s="49">
        <f t="shared" si="15"/>
        <v>79952.399999999994</v>
      </c>
      <c r="X20" s="49">
        <f t="shared" si="16"/>
        <v>78128.7</v>
      </c>
    </row>
    <row r="21" spans="1:24" ht="9.9499999999999993" customHeight="1" x14ac:dyDescent="0.25">
      <c r="A21" s="54">
        <f>IF(Срок_Кредита&lt;9,"",9)</f>
        <v>9</v>
      </c>
      <c r="B21" s="55">
        <f t="shared" si="17"/>
        <v>45021</v>
      </c>
      <c r="C21" s="56">
        <f t="shared" si="2"/>
        <v>63.849999999999994</v>
      </c>
      <c r="D21" s="56">
        <f t="shared" si="0"/>
        <v>63.6</v>
      </c>
      <c r="E21" s="56">
        <f t="shared" si="3"/>
        <v>127.44999999999999</v>
      </c>
      <c r="I21" s="47">
        <f t="shared" si="4"/>
        <v>2541.9899999999998</v>
      </c>
      <c r="J21" s="52">
        <f t="shared" si="5"/>
        <v>2604.29</v>
      </c>
      <c r="K21" s="52">
        <f t="shared" si="6"/>
        <v>2541.9899999999998</v>
      </c>
      <c r="L21" s="48">
        <f t="shared" si="7"/>
        <v>44986</v>
      </c>
      <c r="M21" s="48">
        <f t="shared" si="1"/>
        <v>45016</v>
      </c>
      <c r="N21" s="49">
        <f t="shared" si="8"/>
        <v>3</v>
      </c>
      <c r="O21" s="53">
        <f t="shared" si="9"/>
        <v>5</v>
      </c>
      <c r="P21" s="49">
        <f t="shared" si="18"/>
        <v>25</v>
      </c>
      <c r="Q21" s="47">
        <f t="shared" si="10"/>
        <v>63.6</v>
      </c>
      <c r="R21" s="47">
        <f t="shared" si="11"/>
        <v>63.6</v>
      </c>
      <c r="S21" s="47">
        <f t="shared" si="12"/>
        <v>63.6</v>
      </c>
      <c r="T21" s="47">
        <f t="shared" si="13"/>
        <v>63.6</v>
      </c>
      <c r="U21" s="47">
        <f t="shared" si="14"/>
        <v>74.150000000000006</v>
      </c>
      <c r="W21" s="49">
        <f t="shared" si="15"/>
        <v>78128.7</v>
      </c>
      <c r="X21" s="49">
        <f t="shared" si="16"/>
        <v>76259.7</v>
      </c>
    </row>
    <row r="22" spans="1:24" ht="9.9499999999999993" customHeight="1" x14ac:dyDescent="0.25">
      <c r="A22" s="54">
        <f>IF(Срок_Кредита&lt;10,"",10)</f>
        <v>10</v>
      </c>
      <c r="B22" s="55">
        <f t="shared" si="17"/>
        <v>45051</v>
      </c>
      <c r="C22" s="56">
        <f t="shared" si="2"/>
        <v>65.44</v>
      </c>
      <c r="D22" s="56">
        <f t="shared" si="0"/>
        <v>62.01</v>
      </c>
      <c r="E22" s="56">
        <f t="shared" si="3"/>
        <v>127.44999999999999</v>
      </c>
      <c r="I22" s="47">
        <f t="shared" si="4"/>
        <v>2478.14</v>
      </c>
      <c r="J22" s="52">
        <f t="shared" si="5"/>
        <v>2541.9899999999998</v>
      </c>
      <c r="K22" s="52">
        <f t="shared" si="6"/>
        <v>2478.14</v>
      </c>
      <c r="L22" s="48">
        <f t="shared" si="7"/>
        <v>45017</v>
      </c>
      <c r="M22" s="48">
        <f t="shared" si="1"/>
        <v>45046</v>
      </c>
      <c r="N22" s="49">
        <f t="shared" si="8"/>
        <v>3</v>
      </c>
      <c r="O22" s="53">
        <f t="shared" si="9"/>
        <v>5</v>
      </c>
      <c r="P22" s="49">
        <f t="shared" si="18"/>
        <v>25</v>
      </c>
      <c r="Q22" s="47">
        <f t="shared" si="10"/>
        <v>62.01</v>
      </c>
      <c r="R22" s="47">
        <f t="shared" si="11"/>
        <v>62.01</v>
      </c>
      <c r="S22" s="47">
        <f t="shared" si="12"/>
        <v>62.01</v>
      </c>
      <c r="T22" s="47">
        <f t="shared" si="13"/>
        <v>62.01</v>
      </c>
      <c r="U22" s="47">
        <f t="shared" si="14"/>
        <v>72.3</v>
      </c>
      <c r="W22" s="49">
        <f t="shared" si="15"/>
        <v>76259.7</v>
      </c>
      <c r="X22" s="49">
        <f t="shared" si="16"/>
        <v>74344.2</v>
      </c>
    </row>
    <row r="23" spans="1:24" ht="9.9499999999999993" customHeight="1" x14ac:dyDescent="0.25">
      <c r="A23" s="54">
        <f>IF(Срок_Кредита&lt;11,"",11)</f>
        <v>11</v>
      </c>
      <c r="B23" s="55">
        <f t="shared" si="17"/>
        <v>45082</v>
      </c>
      <c r="C23" s="56">
        <f t="shared" si="2"/>
        <v>67.069999999999993</v>
      </c>
      <c r="D23" s="56">
        <f t="shared" si="0"/>
        <v>60.39</v>
      </c>
      <c r="E23" s="56">
        <f t="shared" si="3"/>
        <v>127.46</v>
      </c>
      <c r="I23" s="47">
        <f t="shared" si="4"/>
        <v>2412.6999999999998</v>
      </c>
      <c r="J23" s="52">
        <f t="shared" si="5"/>
        <v>2478.14</v>
      </c>
      <c r="K23" s="52">
        <f t="shared" si="6"/>
        <v>2412.6999999999998</v>
      </c>
      <c r="L23" s="48">
        <f t="shared" si="7"/>
        <v>45047</v>
      </c>
      <c r="M23" s="48">
        <f t="shared" si="1"/>
        <v>45077</v>
      </c>
      <c r="N23" s="49">
        <f t="shared" si="8"/>
        <v>3</v>
      </c>
      <c r="O23" s="53">
        <f t="shared" si="9"/>
        <v>5</v>
      </c>
      <c r="P23" s="49">
        <f t="shared" si="18"/>
        <v>25</v>
      </c>
      <c r="Q23" s="47">
        <f t="shared" si="10"/>
        <v>60.39</v>
      </c>
      <c r="R23" s="47">
        <f t="shared" si="11"/>
        <v>60.39</v>
      </c>
      <c r="S23" s="47">
        <f t="shared" si="12"/>
        <v>60.39</v>
      </c>
      <c r="T23" s="47">
        <f t="shared" si="13"/>
        <v>60.39</v>
      </c>
      <c r="U23" s="47">
        <f t="shared" si="14"/>
        <v>70.41</v>
      </c>
      <c r="W23" s="49">
        <f t="shared" si="15"/>
        <v>74344.2</v>
      </c>
      <c r="X23" s="49">
        <f t="shared" si="16"/>
        <v>72381</v>
      </c>
    </row>
    <row r="24" spans="1:24" ht="9.9499999999999993" customHeight="1" x14ac:dyDescent="0.25">
      <c r="A24" s="54">
        <f>IF(Срок_Кредита&lt;12,"",12)</f>
        <v>12</v>
      </c>
      <c r="B24" s="55">
        <f t="shared" si="17"/>
        <v>45112</v>
      </c>
      <c r="C24" s="56">
        <f t="shared" si="2"/>
        <v>68.739999999999995</v>
      </c>
      <c r="D24" s="56">
        <f t="shared" si="0"/>
        <v>58.72</v>
      </c>
      <c r="E24" s="56">
        <f t="shared" si="3"/>
        <v>127.46</v>
      </c>
      <c r="I24" s="47">
        <f t="shared" si="4"/>
        <v>2345.6299999999997</v>
      </c>
      <c r="J24" s="52">
        <f t="shared" si="5"/>
        <v>2412.6999999999998</v>
      </c>
      <c r="K24" s="52">
        <f t="shared" si="6"/>
        <v>2345.6299999999997</v>
      </c>
      <c r="L24" s="48">
        <f t="shared" si="7"/>
        <v>45078</v>
      </c>
      <c r="M24" s="48">
        <f t="shared" si="1"/>
        <v>45107</v>
      </c>
      <c r="N24" s="49">
        <f t="shared" si="8"/>
        <v>3</v>
      </c>
      <c r="O24" s="53">
        <f t="shared" si="9"/>
        <v>5</v>
      </c>
      <c r="P24" s="49">
        <f t="shared" si="18"/>
        <v>25</v>
      </c>
      <c r="Q24" s="47">
        <f t="shared" si="10"/>
        <v>58.72</v>
      </c>
      <c r="R24" s="47">
        <f t="shared" si="11"/>
        <v>58.72</v>
      </c>
      <c r="S24" s="47">
        <f t="shared" si="12"/>
        <v>58.72</v>
      </c>
      <c r="T24" s="47">
        <f t="shared" si="13"/>
        <v>58.72</v>
      </c>
      <c r="U24" s="47">
        <f t="shared" si="14"/>
        <v>68.459999999999994</v>
      </c>
      <c r="W24" s="49">
        <f t="shared" si="15"/>
        <v>72381</v>
      </c>
      <c r="X24" s="49">
        <f t="shared" si="16"/>
        <v>70368.899999999994</v>
      </c>
    </row>
    <row r="25" spans="1:24" ht="9.9499999999999993" customHeight="1" x14ac:dyDescent="0.25">
      <c r="A25" s="54">
        <f>IF(Срок_Кредита&lt;13,"",13)</f>
        <v>13</v>
      </c>
      <c r="B25" s="55">
        <f t="shared" si="17"/>
        <v>45143</v>
      </c>
      <c r="C25" s="56">
        <f t="shared" si="2"/>
        <v>70.460000000000008</v>
      </c>
      <c r="D25" s="56">
        <f t="shared" si="0"/>
        <v>57.02</v>
      </c>
      <c r="E25" s="56">
        <f t="shared" si="3"/>
        <v>127.48000000000002</v>
      </c>
      <c r="I25" s="47">
        <f t="shared" si="4"/>
        <v>2276.89</v>
      </c>
      <c r="J25" s="52">
        <f t="shared" si="5"/>
        <v>2345.6299999999997</v>
      </c>
      <c r="K25" s="52">
        <f t="shared" si="6"/>
        <v>2276.89</v>
      </c>
      <c r="L25" s="48">
        <f t="shared" si="7"/>
        <v>45108</v>
      </c>
      <c r="M25" s="48">
        <f t="shared" si="1"/>
        <v>45138</v>
      </c>
      <c r="N25" s="49">
        <f t="shared" si="8"/>
        <v>3</v>
      </c>
      <c r="O25" s="53">
        <f t="shared" si="9"/>
        <v>5</v>
      </c>
      <c r="P25" s="49">
        <f t="shared" si="18"/>
        <v>25</v>
      </c>
      <c r="Q25" s="47">
        <f t="shared" si="10"/>
        <v>57.02</v>
      </c>
      <c r="R25" s="47">
        <f t="shared" si="11"/>
        <v>57.02</v>
      </c>
      <c r="S25" s="47">
        <f t="shared" si="12"/>
        <v>57.02</v>
      </c>
      <c r="T25" s="47">
        <f t="shared" si="13"/>
        <v>57.02</v>
      </c>
      <c r="U25" s="47">
        <f t="shared" si="14"/>
        <v>66.47</v>
      </c>
      <c r="W25" s="49">
        <f t="shared" si="15"/>
        <v>70368.899999999994</v>
      </c>
      <c r="X25" s="49">
        <f t="shared" si="16"/>
        <v>68306.7</v>
      </c>
    </row>
    <row r="26" spans="1:24" ht="9.9499999999999993" customHeight="1" x14ac:dyDescent="0.25">
      <c r="A26" s="54">
        <f>IF(Срок_Кредита&lt;14,"",14)</f>
        <v>14</v>
      </c>
      <c r="B26" s="55">
        <f t="shared" si="17"/>
        <v>45174</v>
      </c>
      <c r="C26" s="56">
        <f t="shared" si="2"/>
        <v>72.210000000000008</v>
      </c>
      <c r="D26" s="56">
        <f t="shared" si="0"/>
        <v>55.27</v>
      </c>
      <c r="E26" s="56">
        <f t="shared" si="3"/>
        <v>127.48000000000002</v>
      </c>
      <c r="I26" s="47">
        <f t="shared" si="4"/>
        <v>2206.4299999999998</v>
      </c>
      <c r="J26" s="52">
        <f t="shared" si="5"/>
        <v>2276.89</v>
      </c>
      <c r="K26" s="52">
        <f t="shared" si="6"/>
        <v>2206.4299999999998</v>
      </c>
      <c r="L26" s="48">
        <f t="shared" si="7"/>
        <v>45139</v>
      </c>
      <c r="M26" s="48">
        <f t="shared" si="1"/>
        <v>45169</v>
      </c>
      <c r="N26" s="49">
        <f t="shared" si="8"/>
        <v>3</v>
      </c>
      <c r="O26" s="53">
        <f t="shared" si="9"/>
        <v>5</v>
      </c>
      <c r="P26" s="49">
        <f t="shared" si="18"/>
        <v>25</v>
      </c>
      <c r="Q26" s="47">
        <f t="shared" si="10"/>
        <v>55.27</v>
      </c>
      <c r="R26" s="47">
        <f t="shared" si="11"/>
        <v>55.27</v>
      </c>
      <c r="S26" s="47">
        <f t="shared" si="12"/>
        <v>55.27</v>
      </c>
      <c r="T26" s="47">
        <f t="shared" si="13"/>
        <v>55.27</v>
      </c>
      <c r="U26" s="47">
        <f t="shared" si="14"/>
        <v>64.430000000000007</v>
      </c>
      <c r="W26" s="49">
        <f t="shared" si="15"/>
        <v>68306.7</v>
      </c>
      <c r="X26" s="49">
        <f t="shared" si="16"/>
        <v>66192.899999999994</v>
      </c>
    </row>
    <row r="27" spans="1:24" ht="9.9499999999999993" customHeight="1" x14ac:dyDescent="0.25">
      <c r="A27" s="54">
        <f>IF(Срок_Кредита&lt;15,"",15)</f>
        <v>15</v>
      </c>
      <c r="B27" s="55">
        <f t="shared" si="17"/>
        <v>45204</v>
      </c>
      <c r="C27" s="56">
        <f t="shared" si="2"/>
        <v>74.009999999999991</v>
      </c>
      <c r="D27" s="56">
        <f t="shared" si="0"/>
        <v>53.48</v>
      </c>
      <c r="E27" s="56">
        <f t="shared" si="3"/>
        <v>127.48999999999998</v>
      </c>
      <c r="I27" s="47">
        <f t="shared" si="4"/>
        <v>2134.2199999999998</v>
      </c>
      <c r="J27" s="52">
        <f t="shared" si="5"/>
        <v>2206.4299999999998</v>
      </c>
      <c r="K27" s="52">
        <f t="shared" si="6"/>
        <v>2134.2199999999998</v>
      </c>
      <c r="L27" s="48">
        <f t="shared" si="7"/>
        <v>45170</v>
      </c>
      <c r="M27" s="48">
        <f t="shared" si="1"/>
        <v>45199</v>
      </c>
      <c r="N27" s="49">
        <f t="shared" si="8"/>
        <v>3</v>
      </c>
      <c r="O27" s="53">
        <f t="shared" si="9"/>
        <v>5</v>
      </c>
      <c r="P27" s="49">
        <f t="shared" si="18"/>
        <v>25</v>
      </c>
      <c r="Q27" s="47">
        <f t="shared" si="10"/>
        <v>53.48</v>
      </c>
      <c r="R27" s="47">
        <f t="shared" si="11"/>
        <v>53.48</v>
      </c>
      <c r="S27" s="47">
        <f t="shared" si="12"/>
        <v>53.48</v>
      </c>
      <c r="T27" s="47">
        <f t="shared" si="13"/>
        <v>53.48</v>
      </c>
      <c r="U27" s="47">
        <f t="shared" si="14"/>
        <v>62.34</v>
      </c>
      <c r="W27" s="49">
        <f t="shared" si="15"/>
        <v>66192.899999999994</v>
      </c>
      <c r="X27" s="49">
        <f t="shared" si="16"/>
        <v>64026.599999999991</v>
      </c>
    </row>
    <row r="28" spans="1:24" ht="9.9499999999999993" customHeight="1" x14ac:dyDescent="0.25">
      <c r="A28" s="54">
        <f>IF(Срок_Кредита&lt;16,"",16)</f>
        <v>16</v>
      </c>
      <c r="B28" s="55">
        <f t="shared" si="17"/>
        <v>45235</v>
      </c>
      <c r="C28" s="56">
        <f t="shared" si="2"/>
        <v>75.86</v>
      </c>
      <c r="D28" s="56">
        <f t="shared" si="0"/>
        <v>51.64</v>
      </c>
      <c r="E28" s="56">
        <f t="shared" si="3"/>
        <v>127.5</v>
      </c>
      <c r="I28" s="47">
        <f t="shared" si="4"/>
        <v>2060.21</v>
      </c>
      <c r="J28" s="52">
        <f t="shared" si="5"/>
        <v>2134.2199999999998</v>
      </c>
      <c r="K28" s="52">
        <f t="shared" si="6"/>
        <v>2060.21</v>
      </c>
      <c r="L28" s="48">
        <f t="shared" si="7"/>
        <v>45200</v>
      </c>
      <c r="M28" s="48">
        <f t="shared" si="1"/>
        <v>45230</v>
      </c>
      <c r="N28" s="49">
        <f t="shared" si="8"/>
        <v>3</v>
      </c>
      <c r="O28" s="53">
        <f t="shared" si="9"/>
        <v>5</v>
      </c>
      <c r="P28" s="49">
        <f t="shared" si="18"/>
        <v>25</v>
      </c>
      <c r="Q28" s="47">
        <f t="shared" si="10"/>
        <v>51.64</v>
      </c>
      <c r="R28" s="47">
        <f t="shared" si="11"/>
        <v>51.64</v>
      </c>
      <c r="S28" s="47">
        <f t="shared" si="12"/>
        <v>51.64</v>
      </c>
      <c r="T28" s="47">
        <f t="shared" si="13"/>
        <v>51.64</v>
      </c>
      <c r="U28" s="47">
        <f t="shared" si="14"/>
        <v>60.2</v>
      </c>
      <c r="W28" s="49">
        <f t="shared" si="15"/>
        <v>64026.599999999991</v>
      </c>
      <c r="X28" s="49">
        <f t="shared" si="16"/>
        <v>61806.3</v>
      </c>
    </row>
    <row r="29" spans="1:24" ht="9.9499999999999993" customHeight="1" x14ac:dyDescent="0.25">
      <c r="A29" s="54">
        <f>IF(Срок_Кредита&lt;17,"",17)</f>
        <v>17</v>
      </c>
      <c r="B29" s="55">
        <f t="shared" si="17"/>
        <v>45265</v>
      </c>
      <c r="C29" s="56">
        <f t="shared" si="2"/>
        <v>77.75</v>
      </c>
      <c r="D29" s="56">
        <f t="shared" si="0"/>
        <v>49.76</v>
      </c>
      <c r="E29" s="56">
        <f t="shared" si="3"/>
        <v>127.50999999999999</v>
      </c>
      <c r="I29" s="47">
        <f t="shared" si="4"/>
        <v>1984.3500000000001</v>
      </c>
      <c r="J29" s="52">
        <f t="shared" si="5"/>
        <v>2060.21</v>
      </c>
      <c r="K29" s="52">
        <f t="shared" si="6"/>
        <v>1984.3500000000001</v>
      </c>
      <c r="L29" s="48">
        <f t="shared" si="7"/>
        <v>45231</v>
      </c>
      <c r="M29" s="48">
        <f t="shared" si="1"/>
        <v>45260</v>
      </c>
      <c r="N29" s="49">
        <f t="shared" si="8"/>
        <v>3</v>
      </c>
      <c r="O29" s="53">
        <f t="shared" si="9"/>
        <v>5</v>
      </c>
      <c r="P29" s="49">
        <f t="shared" si="18"/>
        <v>25</v>
      </c>
      <c r="Q29" s="47">
        <f t="shared" si="10"/>
        <v>49.76</v>
      </c>
      <c r="R29" s="47">
        <f t="shared" si="11"/>
        <v>49.76</v>
      </c>
      <c r="S29" s="47">
        <f t="shared" si="12"/>
        <v>49.76</v>
      </c>
      <c r="T29" s="47">
        <f t="shared" si="13"/>
        <v>49.76</v>
      </c>
      <c r="U29" s="47">
        <f t="shared" si="14"/>
        <v>58</v>
      </c>
      <c r="W29" s="49">
        <f t="shared" si="15"/>
        <v>61806.3</v>
      </c>
      <c r="X29" s="49">
        <f t="shared" si="16"/>
        <v>59530.500000000007</v>
      </c>
    </row>
    <row r="30" spans="1:24" ht="9.9499999999999993" customHeight="1" x14ac:dyDescent="0.25">
      <c r="A30" s="54">
        <f>IF(Срок_Кредита&lt;18,"",18)</f>
        <v>18</v>
      </c>
      <c r="B30" s="55">
        <f t="shared" si="17"/>
        <v>45296</v>
      </c>
      <c r="C30" s="56">
        <f t="shared" si="2"/>
        <v>79.680000000000007</v>
      </c>
      <c r="D30" s="56">
        <f t="shared" si="0"/>
        <v>47.83</v>
      </c>
      <c r="E30" s="56">
        <f t="shared" si="3"/>
        <v>127.51</v>
      </c>
      <c r="I30" s="47">
        <f t="shared" si="4"/>
        <v>1906.6000000000001</v>
      </c>
      <c r="J30" s="52">
        <f t="shared" si="5"/>
        <v>1984.3500000000001</v>
      </c>
      <c r="K30" s="52">
        <f t="shared" si="6"/>
        <v>1906.6000000000001</v>
      </c>
      <c r="L30" s="48">
        <f t="shared" si="7"/>
        <v>45261</v>
      </c>
      <c r="M30" s="48">
        <f t="shared" si="1"/>
        <v>45291</v>
      </c>
      <c r="N30" s="49">
        <f t="shared" si="8"/>
        <v>3</v>
      </c>
      <c r="O30" s="53">
        <f t="shared" si="9"/>
        <v>5</v>
      </c>
      <c r="P30" s="49">
        <f t="shared" si="18"/>
        <v>25</v>
      </c>
      <c r="Q30" s="47">
        <f t="shared" si="10"/>
        <v>47.83</v>
      </c>
      <c r="R30" s="47">
        <f t="shared" si="11"/>
        <v>47.83</v>
      </c>
      <c r="S30" s="47">
        <f t="shared" si="12"/>
        <v>47.83</v>
      </c>
      <c r="T30" s="47">
        <f t="shared" si="13"/>
        <v>47.83</v>
      </c>
      <c r="U30" s="47">
        <f t="shared" si="14"/>
        <v>55.75</v>
      </c>
      <c r="W30" s="49">
        <f t="shared" si="15"/>
        <v>59530.500000000007</v>
      </c>
      <c r="X30" s="49">
        <f t="shared" si="16"/>
        <v>57198.000000000007</v>
      </c>
    </row>
    <row r="31" spans="1:24" ht="9.9499999999999993" customHeight="1" x14ac:dyDescent="0.25">
      <c r="A31" s="54">
        <f>IF(Срок_Кредита&lt;19,"",19)</f>
        <v>19</v>
      </c>
      <c r="B31" s="55">
        <f t="shared" si="17"/>
        <v>45327</v>
      </c>
      <c r="C31" s="56">
        <f t="shared" si="2"/>
        <v>81.669999999999987</v>
      </c>
      <c r="D31" s="56">
        <f t="shared" si="0"/>
        <v>45.85</v>
      </c>
      <c r="E31" s="56">
        <f t="shared" si="3"/>
        <v>127.51999999999998</v>
      </c>
      <c r="I31" s="47">
        <f t="shared" si="4"/>
        <v>1826.92</v>
      </c>
      <c r="J31" s="52">
        <f t="shared" si="5"/>
        <v>1906.6000000000001</v>
      </c>
      <c r="K31" s="52">
        <f t="shared" si="6"/>
        <v>1826.92</v>
      </c>
      <c r="L31" s="48">
        <f t="shared" si="7"/>
        <v>45292</v>
      </c>
      <c r="M31" s="48">
        <f t="shared" si="1"/>
        <v>45322</v>
      </c>
      <c r="N31" s="49">
        <f t="shared" si="8"/>
        <v>3</v>
      </c>
      <c r="O31" s="53">
        <f t="shared" si="9"/>
        <v>5</v>
      </c>
      <c r="P31" s="49">
        <f t="shared" si="18"/>
        <v>25</v>
      </c>
      <c r="Q31" s="47">
        <f t="shared" si="10"/>
        <v>45.85</v>
      </c>
      <c r="R31" s="47">
        <f t="shared" si="11"/>
        <v>45.85</v>
      </c>
      <c r="S31" s="47">
        <f t="shared" si="12"/>
        <v>45.85</v>
      </c>
      <c r="T31" s="47">
        <f t="shared" si="13"/>
        <v>45.85</v>
      </c>
      <c r="U31" s="47">
        <f t="shared" si="14"/>
        <v>53.44</v>
      </c>
      <c r="W31" s="49">
        <f t="shared" si="15"/>
        <v>57198.000000000007</v>
      </c>
      <c r="X31" s="49">
        <f t="shared" si="16"/>
        <v>54807.600000000006</v>
      </c>
    </row>
    <row r="32" spans="1:24" ht="9.9499999999999993" customHeight="1" x14ac:dyDescent="0.25">
      <c r="A32" s="54">
        <f>IF(Срок_Кредита&lt;20,"",20)</f>
        <v>20</v>
      </c>
      <c r="B32" s="55">
        <f t="shared" si="17"/>
        <v>45356</v>
      </c>
      <c r="C32" s="56">
        <f t="shared" si="2"/>
        <v>83.699999999999989</v>
      </c>
      <c r="D32" s="56">
        <f t="shared" si="0"/>
        <v>43.82</v>
      </c>
      <c r="E32" s="56">
        <f t="shared" si="3"/>
        <v>127.51999999999998</v>
      </c>
      <c r="I32" s="47">
        <f t="shared" si="4"/>
        <v>1745.25</v>
      </c>
      <c r="J32" s="52">
        <f t="shared" si="5"/>
        <v>1826.92</v>
      </c>
      <c r="K32" s="52">
        <f t="shared" si="6"/>
        <v>1745.25</v>
      </c>
      <c r="L32" s="48">
        <f t="shared" si="7"/>
        <v>45323</v>
      </c>
      <c r="M32" s="48">
        <f t="shared" si="1"/>
        <v>45351</v>
      </c>
      <c r="N32" s="49">
        <f t="shared" si="8"/>
        <v>3</v>
      </c>
      <c r="O32" s="53">
        <f t="shared" si="9"/>
        <v>5</v>
      </c>
      <c r="P32" s="49">
        <f t="shared" si="18"/>
        <v>25</v>
      </c>
      <c r="Q32" s="47">
        <f t="shared" si="10"/>
        <v>43.82</v>
      </c>
      <c r="R32" s="47">
        <f t="shared" si="11"/>
        <v>43.82</v>
      </c>
      <c r="S32" s="47">
        <f t="shared" si="12"/>
        <v>43.82</v>
      </c>
      <c r="T32" s="47">
        <f t="shared" si="13"/>
        <v>43.82</v>
      </c>
      <c r="U32" s="47">
        <f t="shared" si="14"/>
        <v>51.07</v>
      </c>
      <c r="W32" s="49">
        <f t="shared" si="15"/>
        <v>54807.600000000006</v>
      </c>
      <c r="X32" s="49">
        <f t="shared" si="16"/>
        <v>52357.5</v>
      </c>
    </row>
    <row r="33" spans="1:24" ht="9.9499999999999993" customHeight="1" x14ac:dyDescent="0.25">
      <c r="A33" s="54">
        <f>IF(Срок_Кредита&lt;21,"",21)</f>
        <v>21</v>
      </c>
      <c r="B33" s="55">
        <f t="shared" si="17"/>
        <v>45387</v>
      </c>
      <c r="C33" s="56">
        <f t="shared" si="2"/>
        <v>85.789999999999992</v>
      </c>
      <c r="D33" s="56">
        <f t="shared" si="0"/>
        <v>41.75</v>
      </c>
      <c r="E33" s="56">
        <f t="shared" si="3"/>
        <v>127.53999999999999</v>
      </c>
      <c r="I33" s="47">
        <f t="shared" si="4"/>
        <v>1661.55</v>
      </c>
      <c r="J33" s="52">
        <f t="shared" si="5"/>
        <v>1745.25</v>
      </c>
      <c r="K33" s="52">
        <f t="shared" si="6"/>
        <v>1661.55</v>
      </c>
      <c r="L33" s="48">
        <f t="shared" si="7"/>
        <v>45352</v>
      </c>
      <c r="M33" s="48">
        <f t="shared" si="1"/>
        <v>45382</v>
      </c>
      <c r="N33" s="49">
        <f t="shared" si="8"/>
        <v>3</v>
      </c>
      <c r="O33" s="53">
        <f t="shared" si="9"/>
        <v>5</v>
      </c>
      <c r="P33" s="49">
        <f t="shared" si="18"/>
        <v>25</v>
      </c>
      <c r="Q33" s="47">
        <f t="shared" si="10"/>
        <v>41.75</v>
      </c>
      <c r="R33" s="47">
        <f t="shared" si="11"/>
        <v>41.75</v>
      </c>
      <c r="S33" s="47">
        <f t="shared" si="12"/>
        <v>41.75</v>
      </c>
      <c r="T33" s="47">
        <f t="shared" si="13"/>
        <v>41.75</v>
      </c>
      <c r="U33" s="47">
        <f t="shared" si="14"/>
        <v>48.65</v>
      </c>
      <c r="W33" s="49">
        <f t="shared" si="15"/>
        <v>52357.5</v>
      </c>
      <c r="X33" s="49">
        <f t="shared" si="16"/>
        <v>49846.5</v>
      </c>
    </row>
    <row r="34" spans="1:24" ht="9.9499999999999993" customHeight="1" x14ac:dyDescent="0.25">
      <c r="A34" s="54">
        <f>IF(Срок_Кредита&lt;22,"",22)</f>
        <v>22</v>
      </c>
      <c r="B34" s="55">
        <f t="shared" si="17"/>
        <v>45417</v>
      </c>
      <c r="C34" s="56">
        <f t="shared" si="2"/>
        <v>87.93</v>
      </c>
      <c r="D34" s="56">
        <f t="shared" si="0"/>
        <v>39.619999999999997</v>
      </c>
      <c r="E34" s="56">
        <f t="shared" si="3"/>
        <v>127.55000000000001</v>
      </c>
      <c r="I34" s="47">
        <f t="shared" si="4"/>
        <v>1575.76</v>
      </c>
      <c r="J34" s="52">
        <f t="shared" si="5"/>
        <v>1661.55</v>
      </c>
      <c r="K34" s="52">
        <f t="shared" si="6"/>
        <v>1575.76</v>
      </c>
      <c r="L34" s="48">
        <f t="shared" si="7"/>
        <v>45383</v>
      </c>
      <c r="M34" s="48">
        <f t="shared" si="1"/>
        <v>45412</v>
      </c>
      <c r="N34" s="49">
        <f t="shared" si="8"/>
        <v>3</v>
      </c>
      <c r="O34" s="53">
        <f t="shared" si="9"/>
        <v>5</v>
      </c>
      <c r="P34" s="49">
        <f t="shared" si="18"/>
        <v>25</v>
      </c>
      <c r="Q34" s="47">
        <f t="shared" si="10"/>
        <v>39.619999999999997</v>
      </c>
      <c r="R34" s="47">
        <f t="shared" si="11"/>
        <v>39.619999999999997</v>
      </c>
      <c r="S34" s="47">
        <f t="shared" si="12"/>
        <v>39.619999999999997</v>
      </c>
      <c r="T34" s="47">
        <f t="shared" si="13"/>
        <v>39.619999999999997</v>
      </c>
      <c r="U34" s="47">
        <f t="shared" si="14"/>
        <v>46.16</v>
      </c>
      <c r="W34" s="49">
        <f t="shared" si="15"/>
        <v>49846.5</v>
      </c>
      <c r="X34" s="49">
        <f t="shared" si="16"/>
        <v>47272.800000000003</v>
      </c>
    </row>
    <row r="35" spans="1:24" ht="9.9499999999999993" customHeight="1" x14ac:dyDescent="0.25">
      <c r="A35" s="54">
        <f>IF(Срок_Кредита&lt;23,"",23)</f>
        <v>23</v>
      </c>
      <c r="B35" s="55">
        <f t="shared" si="17"/>
        <v>45448</v>
      </c>
      <c r="C35" s="56">
        <f t="shared" si="2"/>
        <v>90.12</v>
      </c>
      <c r="D35" s="56">
        <f t="shared" si="0"/>
        <v>37.44</v>
      </c>
      <c r="E35" s="56">
        <f t="shared" si="3"/>
        <v>127.56</v>
      </c>
      <c r="I35" s="47">
        <f t="shared" si="4"/>
        <v>1487.83</v>
      </c>
      <c r="J35" s="52">
        <f t="shared" si="5"/>
        <v>1575.76</v>
      </c>
      <c r="K35" s="52">
        <f t="shared" si="6"/>
        <v>1487.83</v>
      </c>
      <c r="L35" s="48">
        <f t="shared" si="7"/>
        <v>45413</v>
      </c>
      <c r="M35" s="48">
        <f t="shared" si="1"/>
        <v>45443</v>
      </c>
      <c r="N35" s="49">
        <f t="shared" si="8"/>
        <v>3</v>
      </c>
      <c r="O35" s="53">
        <f t="shared" si="9"/>
        <v>5</v>
      </c>
      <c r="P35" s="49">
        <f t="shared" si="18"/>
        <v>25</v>
      </c>
      <c r="Q35" s="47">
        <f t="shared" si="10"/>
        <v>37.44</v>
      </c>
      <c r="R35" s="47">
        <f t="shared" si="11"/>
        <v>37.44</v>
      </c>
      <c r="S35" s="47">
        <f t="shared" si="12"/>
        <v>37.44</v>
      </c>
      <c r="T35" s="47">
        <f t="shared" si="13"/>
        <v>37.44</v>
      </c>
      <c r="U35" s="47">
        <f t="shared" si="14"/>
        <v>43.62</v>
      </c>
      <c r="W35" s="49">
        <f t="shared" si="15"/>
        <v>47272.800000000003</v>
      </c>
      <c r="X35" s="49">
        <f t="shared" si="16"/>
        <v>44634.899999999994</v>
      </c>
    </row>
    <row r="36" spans="1:24" ht="9.9499999999999993" customHeight="1" x14ac:dyDescent="0.25">
      <c r="A36" s="54">
        <f>IF(Срок_Кредита&lt;24,"",24)</f>
        <v>24</v>
      </c>
      <c r="B36" s="55">
        <f t="shared" si="17"/>
        <v>45478</v>
      </c>
      <c r="C36" s="56">
        <f t="shared" si="2"/>
        <v>92.36</v>
      </c>
      <c r="D36" s="56">
        <f t="shared" si="0"/>
        <v>35.200000000000003</v>
      </c>
      <c r="E36" s="56">
        <f t="shared" si="3"/>
        <v>127.56</v>
      </c>
      <c r="I36" s="47">
        <f t="shared" si="4"/>
        <v>1397.71</v>
      </c>
      <c r="J36" s="52">
        <f t="shared" si="5"/>
        <v>1487.83</v>
      </c>
      <c r="K36" s="52">
        <f t="shared" si="6"/>
        <v>1397.71</v>
      </c>
      <c r="L36" s="48">
        <f t="shared" si="7"/>
        <v>45444</v>
      </c>
      <c r="M36" s="48">
        <f t="shared" si="1"/>
        <v>45473</v>
      </c>
      <c r="N36" s="49">
        <f t="shared" si="8"/>
        <v>3</v>
      </c>
      <c r="O36" s="53">
        <f t="shared" si="9"/>
        <v>5</v>
      </c>
      <c r="P36" s="49">
        <f t="shared" si="18"/>
        <v>25</v>
      </c>
      <c r="Q36" s="47">
        <f t="shared" si="10"/>
        <v>35.200000000000003</v>
      </c>
      <c r="R36" s="47">
        <f t="shared" si="11"/>
        <v>35.200000000000003</v>
      </c>
      <c r="S36" s="47">
        <f t="shared" si="12"/>
        <v>35.200000000000003</v>
      </c>
      <c r="T36" s="47">
        <f t="shared" si="13"/>
        <v>35.200000000000003</v>
      </c>
      <c r="U36" s="47">
        <f t="shared" si="14"/>
        <v>41</v>
      </c>
      <c r="W36" s="49">
        <f t="shared" si="15"/>
        <v>44634.899999999994</v>
      </c>
      <c r="X36" s="49">
        <f t="shared" si="16"/>
        <v>41931.300000000003</v>
      </c>
    </row>
    <row r="37" spans="1:24" ht="9.9499999999999993" customHeight="1" x14ac:dyDescent="0.25">
      <c r="A37" s="54">
        <f>IF(Срок_Кредита&lt;25,"",25)</f>
        <v>25</v>
      </c>
      <c r="B37" s="55">
        <f t="shared" si="17"/>
        <v>45509</v>
      </c>
      <c r="C37" s="56">
        <f t="shared" si="2"/>
        <v>94.669999999999987</v>
      </c>
      <c r="D37" s="56">
        <f t="shared" si="0"/>
        <v>32.909999999999997</v>
      </c>
      <c r="E37" s="56">
        <f t="shared" si="3"/>
        <v>127.57999999999998</v>
      </c>
      <c r="I37" s="47">
        <f t="shared" si="4"/>
        <v>1305.3500000000001</v>
      </c>
      <c r="J37" s="52">
        <f t="shared" si="5"/>
        <v>1397.71</v>
      </c>
      <c r="K37" s="52">
        <f t="shared" si="6"/>
        <v>1305.3500000000001</v>
      </c>
      <c r="L37" s="48">
        <f t="shared" si="7"/>
        <v>45474</v>
      </c>
      <c r="M37" s="48">
        <f t="shared" si="1"/>
        <v>45504</v>
      </c>
      <c r="N37" s="49">
        <f t="shared" si="8"/>
        <v>3</v>
      </c>
      <c r="O37" s="53">
        <f t="shared" si="9"/>
        <v>5</v>
      </c>
      <c r="P37" s="49">
        <f t="shared" si="18"/>
        <v>25</v>
      </c>
      <c r="Q37" s="47">
        <f t="shared" si="10"/>
        <v>32.909999999999997</v>
      </c>
      <c r="R37" s="47">
        <f t="shared" si="11"/>
        <v>32.909999999999997</v>
      </c>
      <c r="S37" s="47">
        <f t="shared" si="12"/>
        <v>32.909999999999997</v>
      </c>
      <c r="T37" s="47">
        <f t="shared" si="13"/>
        <v>32.909999999999997</v>
      </c>
      <c r="U37" s="47">
        <f t="shared" si="14"/>
        <v>38.33</v>
      </c>
      <c r="W37" s="49">
        <f t="shared" si="15"/>
        <v>41931.300000000003</v>
      </c>
      <c r="X37" s="49">
        <f t="shared" si="16"/>
        <v>39160.500000000007</v>
      </c>
    </row>
    <row r="38" spans="1:24" ht="9.9499999999999993" customHeight="1" x14ac:dyDescent="0.25">
      <c r="A38" s="54">
        <f>IF(Срок_Кредита&lt;26,"",26)</f>
        <v>26</v>
      </c>
      <c r="B38" s="55">
        <f t="shared" si="17"/>
        <v>45540</v>
      </c>
      <c r="C38" s="56">
        <f t="shared" si="2"/>
        <v>97.02</v>
      </c>
      <c r="D38" s="56">
        <f t="shared" si="0"/>
        <v>30.56</v>
      </c>
      <c r="E38" s="56">
        <f t="shared" si="3"/>
        <v>127.58</v>
      </c>
      <c r="I38" s="47">
        <f t="shared" si="4"/>
        <v>1210.68</v>
      </c>
      <c r="J38" s="52">
        <f t="shared" si="5"/>
        <v>1305.3500000000001</v>
      </c>
      <c r="K38" s="52">
        <f t="shared" si="6"/>
        <v>1210.68</v>
      </c>
      <c r="L38" s="48">
        <f t="shared" si="7"/>
        <v>45505</v>
      </c>
      <c r="M38" s="48">
        <f t="shared" si="1"/>
        <v>45535</v>
      </c>
      <c r="N38" s="49">
        <f t="shared" si="8"/>
        <v>3</v>
      </c>
      <c r="O38" s="53">
        <f t="shared" si="9"/>
        <v>5</v>
      </c>
      <c r="P38" s="49">
        <f t="shared" si="18"/>
        <v>25</v>
      </c>
      <c r="Q38" s="47">
        <f t="shared" si="10"/>
        <v>30.56</v>
      </c>
      <c r="R38" s="47">
        <f t="shared" si="11"/>
        <v>30.56</v>
      </c>
      <c r="S38" s="47">
        <f t="shared" si="12"/>
        <v>30.56</v>
      </c>
      <c r="T38" s="47">
        <f t="shared" si="13"/>
        <v>30.56</v>
      </c>
      <c r="U38" s="47">
        <f t="shared" si="14"/>
        <v>35.590000000000003</v>
      </c>
      <c r="W38" s="49">
        <f t="shared" si="15"/>
        <v>39160.500000000007</v>
      </c>
      <c r="X38" s="49">
        <f t="shared" si="16"/>
        <v>36320.400000000001</v>
      </c>
    </row>
    <row r="39" spans="1:24" ht="9.9499999999999993" customHeight="1" x14ac:dyDescent="0.25">
      <c r="A39" s="54">
        <f>IF(Срок_Кредита&lt;27,"",27)</f>
        <v>27</v>
      </c>
      <c r="B39" s="55">
        <f t="shared" si="17"/>
        <v>45570</v>
      </c>
      <c r="C39" s="56">
        <f t="shared" si="2"/>
        <v>99.44</v>
      </c>
      <c r="D39" s="56">
        <f t="shared" si="0"/>
        <v>28.15</v>
      </c>
      <c r="E39" s="56">
        <f t="shared" si="3"/>
        <v>127.59</v>
      </c>
      <c r="I39" s="47">
        <f t="shared" si="4"/>
        <v>1113.6600000000001</v>
      </c>
      <c r="J39" s="52">
        <f t="shared" si="5"/>
        <v>1210.68</v>
      </c>
      <c r="K39" s="52">
        <f t="shared" si="6"/>
        <v>1113.6600000000001</v>
      </c>
      <c r="L39" s="48">
        <f t="shared" si="7"/>
        <v>45536</v>
      </c>
      <c r="M39" s="48">
        <f t="shared" si="1"/>
        <v>45565</v>
      </c>
      <c r="N39" s="49">
        <f t="shared" si="8"/>
        <v>3</v>
      </c>
      <c r="O39" s="53">
        <f t="shared" si="9"/>
        <v>5</v>
      </c>
      <c r="P39" s="49">
        <f t="shared" si="18"/>
        <v>25</v>
      </c>
      <c r="Q39" s="47">
        <f t="shared" si="10"/>
        <v>28.15</v>
      </c>
      <c r="R39" s="47">
        <f t="shared" si="11"/>
        <v>28.15</v>
      </c>
      <c r="S39" s="47">
        <f t="shared" si="12"/>
        <v>28.15</v>
      </c>
      <c r="T39" s="47">
        <f t="shared" si="13"/>
        <v>28.15</v>
      </c>
      <c r="U39" s="47">
        <f t="shared" si="14"/>
        <v>32.78</v>
      </c>
      <c r="W39" s="49">
        <f t="shared" si="15"/>
        <v>36320.400000000001</v>
      </c>
      <c r="X39" s="49">
        <f t="shared" si="16"/>
        <v>33409.800000000003</v>
      </c>
    </row>
    <row r="40" spans="1:24" ht="9.9499999999999993" customHeight="1" x14ac:dyDescent="0.25">
      <c r="A40" s="54">
        <f>IF(Срок_Кредита&lt;28,"",28)</f>
        <v>28</v>
      </c>
      <c r="B40" s="55">
        <f t="shared" si="17"/>
        <v>45601</v>
      </c>
      <c r="C40" s="56">
        <f t="shared" si="2"/>
        <v>101.92</v>
      </c>
      <c r="D40" s="56">
        <f t="shared" si="0"/>
        <v>25.68</v>
      </c>
      <c r="E40" s="56">
        <f t="shared" si="3"/>
        <v>127.6</v>
      </c>
      <c r="I40" s="47">
        <f t="shared" si="4"/>
        <v>1014.22</v>
      </c>
      <c r="J40" s="52">
        <f t="shared" si="5"/>
        <v>1113.6600000000001</v>
      </c>
      <c r="K40" s="52">
        <f t="shared" si="6"/>
        <v>1014.22</v>
      </c>
      <c r="L40" s="48">
        <f t="shared" si="7"/>
        <v>45566</v>
      </c>
      <c r="M40" s="48">
        <f t="shared" si="1"/>
        <v>45596</v>
      </c>
      <c r="N40" s="49">
        <f t="shared" si="8"/>
        <v>3</v>
      </c>
      <c r="O40" s="53">
        <f t="shared" si="9"/>
        <v>5</v>
      </c>
      <c r="P40" s="49">
        <f t="shared" si="18"/>
        <v>25</v>
      </c>
      <c r="Q40" s="47">
        <f t="shared" si="10"/>
        <v>25.68</v>
      </c>
      <c r="R40" s="47">
        <f t="shared" si="11"/>
        <v>25.68</v>
      </c>
      <c r="S40" s="47">
        <f t="shared" si="12"/>
        <v>25.68</v>
      </c>
      <c r="T40" s="47">
        <f t="shared" si="13"/>
        <v>25.68</v>
      </c>
      <c r="U40" s="47">
        <f t="shared" si="14"/>
        <v>29.9</v>
      </c>
      <c r="W40" s="49">
        <f t="shared" si="15"/>
        <v>33409.800000000003</v>
      </c>
      <c r="X40" s="49">
        <f t="shared" si="16"/>
        <v>30426.600000000002</v>
      </c>
    </row>
    <row r="41" spans="1:24" ht="9.9499999999999993" customHeight="1" x14ac:dyDescent="0.25">
      <c r="A41" s="54">
        <f>IF(Срок_Кредита&lt;29,"",29)</f>
        <v>29</v>
      </c>
      <c r="B41" s="55">
        <f t="shared" si="17"/>
        <v>45631</v>
      </c>
      <c r="C41" s="56">
        <f t="shared" si="2"/>
        <v>104.46</v>
      </c>
      <c r="D41" s="56">
        <f t="shared" si="0"/>
        <v>23.15</v>
      </c>
      <c r="E41" s="56">
        <f t="shared" si="3"/>
        <v>127.60999999999999</v>
      </c>
      <c r="I41" s="47">
        <f t="shared" si="4"/>
        <v>912.30000000000007</v>
      </c>
      <c r="J41" s="52">
        <f t="shared" si="5"/>
        <v>1014.22</v>
      </c>
      <c r="K41" s="52">
        <f t="shared" si="6"/>
        <v>912.30000000000007</v>
      </c>
      <c r="L41" s="48">
        <f t="shared" si="7"/>
        <v>45597</v>
      </c>
      <c r="M41" s="48">
        <f t="shared" si="1"/>
        <v>45626</v>
      </c>
      <c r="N41" s="49">
        <f t="shared" si="8"/>
        <v>3</v>
      </c>
      <c r="O41" s="53">
        <f t="shared" si="9"/>
        <v>5</v>
      </c>
      <c r="P41" s="49">
        <f t="shared" si="18"/>
        <v>25</v>
      </c>
      <c r="Q41" s="47">
        <f t="shared" si="10"/>
        <v>23.15</v>
      </c>
      <c r="R41" s="47">
        <f t="shared" si="11"/>
        <v>23.15</v>
      </c>
      <c r="S41" s="47">
        <f t="shared" si="12"/>
        <v>23.15</v>
      </c>
      <c r="T41" s="47">
        <f t="shared" si="13"/>
        <v>23.15</v>
      </c>
      <c r="U41" s="47">
        <f t="shared" si="14"/>
        <v>26.94</v>
      </c>
      <c r="W41" s="49">
        <f t="shared" si="15"/>
        <v>30426.600000000002</v>
      </c>
      <c r="X41" s="49">
        <f t="shared" si="16"/>
        <v>27369.000000000004</v>
      </c>
    </row>
    <row r="42" spans="1:24" ht="9.9499999999999993" customHeight="1" x14ac:dyDescent="0.25">
      <c r="A42" s="54">
        <f>IF(Срок_Кредита&lt;30,"",30)</f>
        <v>30</v>
      </c>
      <c r="B42" s="55">
        <f t="shared" si="17"/>
        <v>45662</v>
      </c>
      <c r="C42" s="56">
        <f t="shared" si="2"/>
        <v>107.06</v>
      </c>
      <c r="D42" s="56">
        <f t="shared" si="0"/>
        <v>20.56</v>
      </c>
      <c r="E42" s="56">
        <f t="shared" si="3"/>
        <v>127.62</v>
      </c>
      <c r="I42" s="47">
        <f t="shared" si="4"/>
        <v>807.84</v>
      </c>
      <c r="J42" s="52">
        <f t="shared" si="5"/>
        <v>912.30000000000007</v>
      </c>
      <c r="K42" s="52">
        <f t="shared" si="6"/>
        <v>807.84</v>
      </c>
      <c r="L42" s="48">
        <f t="shared" si="7"/>
        <v>45627</v>
      </c>
      <c r="M42" s="48">
        <f t="shared" si="1"/>
        <v>45657</v>
      </c>
      <c r="N42" s="49">
        <f t="shared" si="8"/>
        <v>3</v>
      </c>
      <c r="O42" s="53">
        <f t="shared" si="9"/>
        <v>5</v>
      </c>
      <c r="P42" s="49">
        <f t="shared" si="18"/>
        <v>25</v>
      </c>
      <c r="Q42" s="47">
        <f t="shared" si="10"/>
        <v>20.56</v>
      </c>
      <c r="R42" s="47">
        <f t="shared" si="11"/>
        <v>20.56</v>
      </c>
      <c r="S42" s="47">
        <f t="shared" si="12"/>
        <v>20.56</v>
      </c>
      <c r="T42" s="47">
        <f t="shared" si="13"/>
        <v>20.56</v>
      </c>
      <c r="U42" s="47">
        <f t="shared" si="14"/>
        <v>23.92</v>
      </c>
      <c r="W42" s="49">
        <f t="shared" si="15"/>
        <v>27369.000000000004</v>
      </c>
      <c r="X42" s="49">
        <f t="shared" si="16"/>
        <v>24235.200000000001</v>
      </c>
    </row>
    <row r="43" spans="1:24" ht="9.9499999999999993" customHeight="1" x14ac:dyDescent="0.25">
      <c r="A43" s="54">
        <f>IF(Срок_Кредита&lt;31,"",31)</f>
        <v>31</v>
      </c>
      <c r="B43" s="55">
        <f t="shared" si="17"/>
        <v>45693</v>
      </c>
      <c r="C43" s="56">
        <f t="shared" si="2"/>
        <v>109.72999999999999</v>
      </c>
      <c r="D43" s="56">
        <f t="shared" si="0"/>
        <v>17.91</v>
      </c>
      <c r="E43" s="56">
        <f t="shared" si="3"/>
        <v>127.63999999999999</v>
      </c>
      <c r="I43" s="47">
        <f t="shared" si="4"/>
        <v>700.78</v>
      </c>
      <c r="J43" s="52">
        <f t="shared" si="5"/>
        <v>807.84</v>
      </c>
      <c r="K43" s="52">
        <f t="shared" si="6"/>
        <v>700.78</v>
      </c>
      <c r="L43" s="48">
        <f t="shared" si="7"/>
        <v>45658</v>
      </c>
      <c r="M43" s="48">
        <f t="shared" si="1"/>
        <v>45688</v>
      </c>
      <c r="N43" s="49">
        <f t="shared" si="8"/>
        <v>3</v>
      </c>
      <c r="O43" s="53">
        <f t="shared" si="9"/>
        <v>5</v>
      </c>
      <c r="P43" s="49">
        <f t="shared" si="18"/>
        <v>25</v>
      </c>
      <c r="Q43" s="47">
        <f t="shared" si="10"/>
        <v>17.91</v>
      </c>
      <c r="R43" s="47">
        <f t="shared" si="11"/>
        <v>17.91</v>
      </c>
      <c r="S43" s="47">
        <f t="shared" si="12"/>
        <v>17.91</v>
      </c>
      <c r="T43" s="47">
        <f t="shared" si="13"/>
        <v>17.91</v>
      </c>
      <c r="U43" s="47">
        <f t="shared" si="14"/>
        <v>20.82</v>
      </c>
      <c r="W43" s="49">
        <f t="shared" si="15"/>
        <v>24235.200000000001</v>
      </c>
      <c r="X43" s="49">
        <f t="shared" si="16"/>
        <v>21023.399999999998</v>
      </c>
    </row>
    <row r="44" spans="1:24" ht="9.9499999999999993" customHeight="1" x14ac:dyDescent="0.25">
      <c r="A44" s="54">
        <f>IF(Срок_Кредита&lt;32,"",32)</f>
        <v>32</v>
      </c>
      <c r="B44" s="55">
        <f t="shared" si="17"/>
        <v>45721</v>
      </c>
      <c r="C44" s="56">
        <f t="shared" si="2"/>
        <v>112.46</v>
      </c>
      <c r="D44" s="56">
        <f t="shared" si="0"/>
        <v>15.18</v>
      </c>
      <c r="E44" s="56">
        <f t="shared" si="3"/>
        <v>127.63999999999999</v>
      </c>
      <c r="I44" s="47">
        <f t="shared" si="4"/>
        <v>591.04999999999995</v>
      </c>
      <c r="J44" s="52">
        <f t="shared" si="5"/>
        <v>700.78</v>
      </c>
      <c r="K44" s="52">
        <f t="shared" si="6"/>
        <v>591.04999999999995</v>
      </c>
      <c r="L44" s="48">
        <f t="shared" si="7"/>
        <v>45689</v>
      </c>
      <c r="M44" s="48">
        <f t="shared" si="1"/>
        <v>45716</v>
      </c>
      <c r="N44" s="49">
        <f t="shared" si="8"/>
        <v>3</v>
      </c>
      <c r="O44" s="53">
        <f t="shared" si="9"/>
        <v>5</v>
      </c>
      <c r="P44" s="49">
        <f t="shared" si="18"/>
        <v>25</v>
      </c>
      <c r="Q44" s="47">
        <f t="shared" si="10"/>
        <v>15.18</v>
      </c>
      <c r="R44" s="47">
        <f t="shared" si="11"/>
        <v>15.18</v>
      </c>
      <c r="S44" s="47">
        <f t="shared" si="12"/>
        <v>15.18</v>
      </c>
      <c r="T44" s="47">
        <f t="shared" si="13"/>
        <v>15.18</v>
      </c>
      <c r="U44" s="47">
        <f t="shared" si="14"/>
        <v>17.64</v>
      </c>
      <c r="W44" s="49">
        <f t="shared" si="15"/>
        <v>21023.399999999998</v>
      </c>
      <c r="X44" s="49">
        <f t="shared" si="16"/>
        <v>17731.5</v>
      </c>
    </row>
    <row r="45" spans="1:24" ht="9.9499999999999993" customHeight="1" x14ac:dyDescent="0.25">
      <c r="A45" s="54">
        <f>IF(Срок_Кредита&lt;33,"",33)</f>
        <v>33</v>
      </c>
      <c r="B45" s="55">
        <f t="shared" si="17"/>
        <v>45752</v>
      </c>
      <c r="C45" s="56">
        <f t="shared" si="2"/>
        <v>115.27</v>
      </c>
      <c r="D45" s="56">
        <f t="shared" ref="D45:D108" si="19">IF(A45="","",Q45)</f>
        <v>12.39</v>
      </c>
      <c r="E45" s="56">
        <f t="shared" si="3"/>
        <v>127.66</v>
      </c>
      <c r="I45" s="47">
        <f t="shared" si="4"/>
        <v>478.59</v>
      </c>
      <c r="J45" s="52">
        <f t="shared" si="5"/>
        <v>591.04999999999995</v>
      </c>
      <c r="K45" s="52">
        <f t="shared" si="6"/>
        <v>478.59</v>
      </c>
      <c r="L45" s="48">
        <f t="shared" si="7"/>
        <v>45717</v>
      </c>
      <c r="M45" s="48">
        <f t="shared" ref="M45:M108" si="20">IF(A45="","",EOMONTH(L45,0))</f>
        <v>45747</v>
      </c>
      <c r="N45" s="49">
        <f t="shared" si="8"/>
        <v>3</v>
      </c>
      <c r="O45" s="53">
        <f t="shared" si="9"/>
        <v>5</v>
      </c>
      <c r="P45" s="49">
        <f t="shared" si="18"/>
        <v>25</v>
      </c>
      <c r="Q45" s="47">
        <f t="shared" si="10"/>
        <v>12.39</v>
      </c>
      <c r="R45" s="47">
        <f t="shared" si="11"/>
        <v>12.39</v>
      </c>
      <c r="S45" s="47">
        <f t="shared" si="12"/>
        <v>12.39</v>
      </c>
      <c r="T45" s="47">
        <f t="shared" si="13"/>
        <v>12.39</v>
      </c>
      <c r="U45" s="47">
        <f t="shared" si="14"/>
        <v>14.38</v>
      </c>
      <c r="W45" s="49">
        <f t="shared" si="15"/>
        <v>17731.5</v>
      </c>
      <c r="X45" s="49">
        <f t="shared" si="16"/>
        <v>14357.699999999999</v>
      </c>
    </row>
    <row r="46" spans="1:24" ht="9.9499999999999993" customHeight="1" x14ac:dyDescent="0.25">
      <c r="A46" s="54">
        <f>IF(Срок_Кредита&lt;34,"",34)</f>
        <v>34</v>
      </c>
      <c r="B46" s="55">
        <f t="shared" si="17"/>
        <v>45782</v>
      </c>
      <c r="C46" s="56">
        <f t="shared" ref="C46:C109" si="21">IF(A46="","",IF(A46&lt;=Отсрочка_ОД,0,ROUND((I46*(Основная_Ставка/12)/(1-POWER(1+Основная_Ставка/12,-(Срок_Кредита-A45)))),2)-ROUND((I46*Основная_Ставка/12),2)))</f>
        <v>118.14</v>
      </c>
      <c r="D46" s="56">
        <f t="shared" si="19"/>
        <v>9.5299999999999994</v>
      </c>
      <c r="E46" s="56">
        <f t="shared" si="3"/>
        <v>127.67</v>
      </c>
      <c r="I46" s="47">
        <f t="shared" ref="I46:I109" si="22">IF(A46="","",I45-C45)</f>
        <v>363.32</v>
      </c>
      <c r="J46" s="52">
        <f t="shared" ref="J46:J109" si="23">IF(A46="","",K45)</f>
        <v>478.59</v>
      </c>
      <c r="K46" s="52">
        <f t="shared" ref="K46:K109" si="24">IF(A46="","",I46)</f>
        <v>363.32</v>
      </c>
      <c r="L46" s="48">
        <f t="shared" ref="L46:L109" si="25">IF(A46="","",DATE(YEAR(Дата_выдачи_кредита),MONTH(Дата_выдачи_кредита)+A45,DAY(1)))</f>
        <v>45748</v>
      </c>
      <c r="M46" s="48">
        <f t="shared" si="20"/>
        <v>45777</v>
      </c>
      <c r="N46" s="49">
        <f t="shared" ref="N46:N109" si="26">IF(A46="","",IF(A46=Срок_Кредита,4,IF(Кол_во_Льготных_дней=0,3,IF(Дата_второй_ставки&gt;=M46,1,IF(Дата_второй_ставки&gt;L46,IF(Дата_второй_ставки&lt;M46,2),3)))))</f>
        <v>3</v>
      </c>
      <c r="O46" s="53">
        <f t="shared" ref="O46:O109" si="27">IF(A46="","",IF(N46=1,Платежная_дата,IF(N46=2,$N$7,Платежная_дата)))</f>
        <v>5</v>
      </c>
      <c r="P46" s="49">
        <f t="shared" si="18"/>
        <v>25</v>
      </c>
      <c r="Q46" s="47">
        <f t="shared" ref="Q46:Q109" si="28">IF(A46="","",IF(N46=1,R46,IF(N46=2,S46,IF(N46=3,T46,IF(N46=4,U46)))))</f>
        <v>9.5299999999999994</v>
      </c>
      <c r="R46" s="47">
        <f t="shared" ref="R46:R109" si="29">IF(A46="","",ROUND((J46*Льготная_Ставка*O46/360)+(K46*Льготная_Ставка*P46/360),2))</f>
        <v>9.5299999999999994</v>
      </c>
      <c r="S46" s="47">
        <f t="shared" ref="S46:S109" si="30">IF(A46="","",IF($N$7&lt;Платежная_дата,(ROUND((J46*Льготная_Ставка*$N$7/360)+(J46*Основная_Ставка*(Платежная_дата-$N$7)/360)+(K46*Основная_Ставка*$N$5/360),2)),IF($N$7=Платежная_дата,(ROUND((J46*Льготная_Ставка*Платежная_дата/360)+(K46*Основная_Ставка*$N$5/360),2)),IF($N$7&gt;Платежная_дата,(ROUND((J46*Льготная_Ставка*Платежная_дата/360)+(K46*Льготная_Ставка*($N$7-Платежная_дата)/360)+(K46*Основная_Ставка*$N$8/360),2))))))</f>
        <v>9.5299999999999994</v>
      </c>
      <c r="T46" s="47">
        <f t="shared" ref="T46:T109" si="31">IF(A46="","",ROUND((J46*Основная_Ставка*O46/360)+(K46*Основная_Ставка*P46/360),2))</f>
        <v>9.5299999999999994</v>
      </c>
      <c r="U46" s="47">
        <f t="shared" ref="U46:U109" si="32">IF(A46="","",ROUND((J46*Основная_Ставка*O46/360)+(K46*Основная_Ставка*P46/360)+(K46*Основная_Ставка*Платежная_дата/360),2))</f>
        <v>11.04</v>
      </c>
      <c r="W46" s="49">
        <f t="shared" si="15"/>
        <v>14357.699999999999</v>
      </c>
      <c r="X46" s="49">
        <f t="shared" si="16"/>
        <v>10899.6</v>
      </c>
    </row>
    <row r="47" spans="1:24" ht="9.9499999999999993" customHeight="1" x14ac:dyDescent="0.25">
      <c r="A47" s="54">
        <f>IF(Срок_Кредита&lt;35,"",35)</f>
        <v>35</v>
      </c>
      <c r="B47" s="55">
        <f t="shared" si="17"/>
        <v>45813</v>
      </c>
      <c r="C47" s="56">
        <f t="shared" si="21"/>
        <v>121.08</v>
      </c>
      <c r="D47" s="56">
        <f t="shared" si="19"/>
        <v>6.6</v>
      </c>
      <c r="E47" s="56">
        <f t="shared" si="3"/>
        <v>127.67999999999999</v>
      </c>
      <c r="I47" s="47">
        <f t="shared" si="22"/>
        <v>245.18</v>
      </c>
      <c r="J47" s="52">
        <f t="shared" si="23"/>
        <v>363.32</v>
      </c>
      <c r="K47" s="52">
        <f t="shared" si="24"/>
        <v>245.18</v>
      </c>
      <c r="L47" s="48">
        <f t="shared" si="25"/>
        <v>45778</v>
      </c>
      <c r="M47" s="48">
        <f t="shared" si="20"/>
        <v>45808</v>
      </c>
      <c r="N47" s="49">
        <f t="shared" si="26"/>
        <v>3</v>
      </c>
      <c r="O47" s="53">
        <f t="shared" si="27"/>
        <v>5</v>
      </c>
      <c r="P47" s="49">
        <f t="shared" si="18"/>
        <v>25</v>
      </c>
      <c r="Q47" s="47">
        <f t="shared" si="28"/>
        <v>6.6</v>
      </c>
      <c r="R47" s="47">
        <f t="shared" si="29"/>
        <v>6.6</v>
      </c>
      <c r="S47" s="47">
        <f t="shared" si="30"/>
        <v>6.6</v>
      </c>
      <c r="T47" s="47">
        <f t="shared" si="31"/>
        <v>6.6</v>
      </c>
      <c r="U47" s="47">
        <f t="shared" si="32"/>
        <v>7.62</v>
      </c>
      <c r="W47" s="49">
        <f t="shared" si="15"/>
        <v>10899.6</v>
      </c>
      <c r="X47" s="49">
        <f t="shared" si="16"/>
        <v>7355.4000000000005</v>
      </c>
    </row>
    <row r="48" spans="1:24" ht="9.9499999999999993" customHeight="1" x14ac:dyDescent="0.25">
      <c r="A48" s="54">
        <f>IF(Срок_Кредита&lt;36,"",36)</f>
        <v>36</v>
      </c>
      <c r="B48" s="55">
        <f t="shared" si="17"/>
        <v>45843</v>
      </c>
      <c r="C48" s="56">
        <f t="shared" si="21"/>
        <v>124.1</v>
      </c>
      <c r="D48" s="56">
        <f t="shared" si="19"/>
        <v>4.1100000000000003</v>
      </c>
      <c r="E48" s="56">
        <f t="shared" si="3"/>
        <v>128.21</v>
      </c>
      <c r="I48" s="47">
        <f t="shared" si="22"/>
        <v>124.10000000000001</v>
      </c>
      <c r="J48" s="52">
        <f t="shared" si="23"/>
        <v>245.18</v>
      </c>
      <c r="K48" s="52">
        <f t="shared" si="24"/>
        <v>124.10000000000001</v>
      </c>
      <c r="L48" s="48">
        <f t="shared" si="25"/>
        <v>45809</v>
      </c>
      <c r="M48" s="48">
        <f t="shared" si="20"/>
        <v>45838</v>
      </c>
      <c r="N48" s="49">
        <f t="shared" si="26"/>
        <v>4</v>
      </c>
      <c r="O48" s="53">
        <f t="shared" si="27"/>
        <v>5</v>
      </c>
      <c r="P48" s="49">
        <f t="shared" si="18"/>
        <v>25</v>
      </c>
      <c r="Q48" s="47">
        <f t="shared" si="28"/>
        <v>4.1100000000000003</v>
      </c>
      <c r="R48" s="47">
        <f t="shared" si="29"/>
        <v>3.59</v>
      </c>
      <c r="S48" s="47">
        <f t="shared" si="30"/>
        <v>3.59</v>
      </c>
      <c r="T48" s="47">
        <f t="shared" si="31"/>
        <v>3.59</v>
      </c>
      <c r="U48" s="47">
        <f t="shared" si="32"/>
        <v>4.1100000000000003</v>
      </c>
      <c r="W48" s="49">
        <f t="shared" si="15"/>
        <v>7355.4000000000005</v>
      </c>
      <c r="X48" s="49">
        <f t="shared" si="16"/>
        <v>3723.0000000000005</v>
      </c>
    </row>
    <row r="49" spans="1:24" ht="9.9499999999999993" customHeight="1" x14ac:dyDescent="0.25">
      <c r="A49" s="54" t="str">
        <f>IF(Срок_Кредита&lt;37,"",37)</f>
        <v/>
      </c>
      <c r="B49" s="55" t="str">
        <f t="shared" si="17"/>
        <v/>
      </c>
      <c r="C49" s="56" t="str">
        <f t="shared" si="21"/>
        <v/>
      </c>
      <c r="D49" s="56" t="str">
        <f t="shared" si="19"/>
        <v/>
      </c>
      <c r="E49" s="56" t="str">
        <f t="shared" si="3"/>
        <v/>
      </c>
      <c r="I49" s="47" t="str">
        <f t="shared" si="22"/>
        <v/>
      </c>
      <c r="J49" s="52" t="str">
        <f t="shared" si="23"/>
        <v/>
      </c>
      <c r="K49" s="52" t="str">
        <f t="shared" si="24"/>
        <v/>
      </c>
      <c r="L49" s="48" t="str">
        <f t="shared" si="25"/>
        <v/>
      </c>
      <c r="M49" s="48" t="str">
        <f t="shared" si="20"/>
        <v/>
      </c>
      <c r="N49" s="49" t="str">
        <f t="shared" si="26"/>
        <v/>
      </c>
      <c r="O49" s="53" t="str">
        <f t="shared" si="27"/>
        <v/>
      </c>
      <c r="P49" s="49" t="str">
        <f t="shared" si="18"/>
        <v/>
      </c>
      <c r="Q49" s="47" t="str">
        <f t="shared" si="28"/>
        <v/>
      </c>
      <c r="R49" s="47" t="str">
        <f t="shared" si="29"/>
        <v/>
      </c>
      <c r="S49" s="47" t="str">
        <f t="shared" si="30"/>
        <v/>
      </c>
      <c r="T49" s="47" t="str">
        <f t="shared" si="31"/>
        <v/>
      </c>
      <c r="U49" s="47" t="str">
        <f t="shared" si="32"/>
        <v/>
      </c>
      <c r="W49" s="49">
        <f t="shared" si="15"/>
        <v>0</v>
      </c>
      <c r="X49" s="49">
        <f t="shared" si="16"/>
        <v>0</v>
      </c>
    </row>
    <row r="50" spans="1:24" ht="9.9499999999999993" customHeight="1" x14ac:dyDescent="0.25">
      <c r="A50" s="54" t="str">
        <f>IF(Срок_Кредита&lt;38,"",38)</f>
        <v/>
      </c>
      <c r="B50" s="55" t="str">
        <f t="shared" si="17"/>
        <v/>
      </c>
      <c r="C50" s="56" t="str">
        <f t="shared" si="21"/>
        <v/>
      </c>
      <c r="D50" s="56" t="str">
        <f t="shared" si="19"/>
        <v/>
      </c>
      <c r="E50" s="56" t="str">
        <f t="shared" si="3"/>
        <v/>
      </c>
      <c r="I50" s="47" t="str">
        <f t="shared" si="22"/>
        <v/>
      </c>
      <c r="J50" s="52" t="str">
        <f t="shared" si="23"/>
        <v/>
      </c>
      <c r="K50" s="52" t="str">
        <f t="shared" si="24"/>
        <v/>
      </c>
      <c r="L50" s="48" t="str">
        <f t="shared" si="25"/>
        <v/>
      </c>
      <c r="M50" s="48" t="str">
        <f t="shared" si="20"/>
        <v/>
      </c>
      <c r="N50" s="49" t="str">
        <f t="shared" si="26"/>
        <v/>
      </c>
      <c r="O50" s="53" t="str">
        <f t="shared" si="27"/>
        <v/>
      </c>
      <c r="P50" s="49" t="str">
        <f t="shared" si="18"/>
        <v/>
      </c>
      <c r="Q50" s="47" t="str">
        <f t="shared" si="28"/>
        <v/>
      </c>
      <c r="R50" s="47" t="str">
        <f t="shared" si="29"/>
        <v/>
      </c>
      <c r="S50" s="47" t="str">
        <f t="shared" si="30"/>
        <v/>
      </c>
      <c r="T50" s="47" t="str">
        <f t="shared" si="31"/>
        <v/>
      </c>
      <c r="U50" s="47" t="str">
        <f t="shared" si="32"/>
        <v/>
      </c>
      <c r="W50" s="49">
        <f t="shared" si="15"/>
        <v>0</v>
      </c>
      <c r="X50" s="49">
        <f t="shared" si="16"/>
        <v>0</v>
      </c>
    </row>
    <row r="51" spans="1:24" ht="9.9499999999999993" customHeight="1" x14ac:dyDescent="0.25">
      <c r="A51" s="54" t="str">
        <f>IF(Срок_Кредита&lt;39,"",39)</f>
        <v/>
      </c>
      <c r="B51" s="55" t="str">
        <f t="shared" si="17"/>
        <v/>
      </c>
      <c r="C51" s="56" t="str">
        <f t="shared" si="21"/>
        <v/>
      </c>
      <c r="D51" s="56" t="str">
        <f t="shared" si="19"/>
        <v/>
      </c>
      <c r="E51" s="56" t="str">
        <f t="shared" si="3"/>
        <v/>
      </c>
      <c r="I51" s="47" t="str">
        <f t="shared" si="22"/>
        <v/>
      </c>
      <c r="J51" s="52" t="str">
        <f t="shared" si="23"/>
        <v/>
      </c>
      <c r="K51" s="52" t="str">
        <f t="shared" si="24"/>
        <v/>
      </c>
      <c r="L51" s="48" t="str">
        <f t="shared" si="25"/>
        <v/>
      </c>
      <c r="M51" s="48" t="str">
        <f t="shared" si="20"/>
        <v/>
      </c>
      <c r="N51" s="49" t="str">
        <f t="shared" si="26"/>
        <v/>
      </c>
      <c r="O51" s="53" t="str">
        <f t="shared" si="27"/>
        <v/>
      </c>
      <c r="P51" s="49" t="str">
        <f t="shared" si="18"/>
        <v/>
      </c>
      <c r="Q51" s="47" t="str">
        <f t="shared" si="28"/>
        <v/>
      </c>
      <c r="R51" s="47" t="str">
        <f t="shared" si="29"/>
        <v/>
      </c>
      <c r="S51" s="47" t="str">
        <f t="shared" si="30"/>
        <v/>
      </c>
      <c r="T51" s="47" t="str">
        <f t="shared" si="31"/>
        <v/>
      </c>
      <c r="U51" s="47" t="str">
        <f t="shared" si="32"/>
        <v/>
      </c>
      <c r="W51" s="49">
        <f t="shared" si="15"/>
        <v>0</v>
      </c>
      <c r="X51" s="49">
        <f t="shared" si="16"/>
        <v>0</v>
      </c>
    </row>
    <row r="52" spans="1:24" ht="9.9499999999999993" customHeight="1" x14ac:dyDescent="0.25">
      <c r="A52" s="54" t="str">
        <f>IF(Срок_Кредита&lt;40,"",40)</f>
        <v/>
      </c>
      <c r="B52" s="55" t="str">
        <f t="shared" si="17"/>
        <v/>
      </c>
      <c r="C52" s="56" t="str">
        <f t="shared" si="21"/>
        <v/>
      </c>
      <c r="D52" s="56" t="str">
        <f t="shared" si="19"/>
        <v/>
      </c>
      <c r="E52" s="56" t="str">
        <f t="shared" si="3"/>
        <v/>
      </c>
      <c r="I52" s="47" t="str">
        <f t="shared" si="22"/>
        <v/>
      </c>
      <c r="J52" s="52" t="str">
        <f t="shared" si="23"/>
        <v/>
      </c>
      <c r="K52" s="52" t="str">
        <f t="shared" si="24"/>
        <v/>
      </c>
      <c r="L52" s="48" t="str">
        <f t="shared" si="25"/>
        <v/>
      </c>
      <c r="M52" s="48" t="str">
        <f t="shared" si="20"/>
        <v/>
      </c>
      <c r="N52" s="49" t="str">
        <f t="shared" si="26"/>
        <v/>
      </c>
      <c r="O52" s="53" t="str">
        <f t="shared" si="27"/>
        <v/>
      </c>
      <c r="P52" s="49" t="str">
        <f t="shared" si="18"/>
        <v/>
      </c>
      <c r="Q52" s="47" t="str">
        <f t="shared" si="28"/>
        <v/>
      </c>
      <c r="R52" s="47" t="str">
        <f t="shared" si="29"/>
        <v/>
      </c>
      <c r="S52" s="47" t="str">
        <f t="shared" si="30"/>
        <v/>
      </c>
      <c r="T52" s="47" t="str">
        <f t="shared" si="31"/>
        <v/>
      </c>
      <c r="U52" s="47" t="str">
        <f t="shared" si="32"/>
        <v/>
      </c>
      <c r="W52" s="49">
        <f t="shared" si="15"/>
        <v>0</v>
      </c>
      <c r="X52" s="49">
        <f t="shared" si="16"/>
        <v>0</v>
      </c>
    </row>
    <row r="53" spans="1:24" ht="9.9499999999999993" customHeight="1" x14ac:dyDescent="0.25">
      <c r="A53" s="54" t="str">
        <f>IF(Срок_Кредита&lt;41,"",41)</f>
        <v/>
      </c>
      <c r="B53" s="55" t="str">
        <f t="shared" si="17"/>
        <v/>
      </c>
      <c r="C53" s="56" t="str">
        <f t="shared" si="21"/>
        <v/>
      </c>
      <c r="D53" s="56" t="str">
        <f t="shared" si="19"/>
        <v/>
      </c>
      <c r="E53" s="56" t="str">
        <f t="shared" si="3"/>
        <v/>
      </c>
      <c r="I53" s="47" t="str">
        <f t="shared" si="22"/>
        <v/>
      </c>
      <c r="J53" s="52" t="str">
        <f t="shared" si="23"/>
        <v/>
      </c>
      <c r="K53" s="52" t="str">
        <f t="shared" si="24"/>
        <v/>
      </c>
      <c r="L53" s="48" t="str">
        <f t="shared" si="25"/>
        <v/>
      </c>
      <c r="M53" s="48" t="str">
        <f t="shared" si="20"/>
        <v/>
      </c>
      <c r="N53" s="49" t="str">
        <f t="shared" si="26"/>
        <v/>
      </c>
      <c r="O53" s="53" t="str">
        <f t="shared" si="27"/>
        <v/>
      </c>
      <c r="P53" s="49" t="str">
        <f t="shared" si="18"/>
        <v/>
      </c>
      <c r="Q53" s="47" t="str">
        <f t="shared" si="28"/>
        <v/>
      </c>
      <c r="R53" s="47" t="str">
        <f t="shared" si="29"/>
        <v/>
      </c>
      <c r="S53" s="47" t="str">
        <f t="shared" si="30"/>
        <v/>
      </c>
      <c r="T53" s="47" t="str">
        <f t="shared" si="31"/>
        <v/>
      </c>
      <c r="U53" s="47" t="str">
        <f t="shared" si="32"/>
        <v/>
      </c>
      <c r="W53" s="49">
        <f t="shared" si="15"/>
        <v>0</v>
      </c>
      <c r="X53" s="49">
        <f t="shared" si="16"/>
        <v>0</v>
      </c>
    </row>
    <row r="54" spans="1:24" ht="9.9499999999999993" customHeight="1" x14ac:dyDescent="0.25">
      <c r="A54" s="54" t="str">
        <f>IF(Срок_Кредита&lt;42,"",42)</f>
        <v/>
      </c>
      <c r="B54" s="55" t="str">
        <f t="shared" si="17"/>
        <v/>
      </c>
      <c r="C54" s="56" t="str">
        <f t="shared" si="21"/>
        <v/>
      </c>
      <c r="D54" s="56" t="str">
        <f t="shared" si="19"/>
        <v/>
      </c>
      <c r="E54" s="56" t="str">
        <f t="shared" si="3"/>
        <v/>
      </c>
      <c r="I54" s="47" t="str">
        <f t="shared" si="22"/>
        <v/>
      </c>
      <c r="J54" s="52" t="str">
        <f t="shared" si="23"/>
        <v/>
      </c>
      <c r="K54" s="52" t="str">
        <f t="shared" si="24"/>
        <v/>
      </c>
      <c r="L54" s="48" t="str">
        <f t="shared" si="25"/>
        <v/>
      </c>
      <c r="M54" s="48" t="str">
        <f t="shared" si="20"/>
        <v/>
      </c>
      <c r="N54" s="49" t="str">
        <f t="shared" si="26"/>
        <v/>
      </c>
      <c r="O54" s="53" t="str">
        <f t="shared" si="27"/>
        <v/>
      </c>
      <c r="P54" s="49" t="str">
        <f t="shared" si="18"/>
        <v/>
      </c>
      <c r="Q54" s="47" t="str">
        <f t="shared" si="28"/>
        <v/>
      </c>
      <c r="R54" s="47" t="str">
        <f t="shared" si="29"/>
        <v/>
      </c>
      <c r="S54" s="47" t="str">
        <f t="shared" si="30"/>
        <v/>
      </c>
      <c r="T54" s="47" t="str">
        <f t="shared" si="31"/>
        <v/>
      </c>
      <c r="U54" s="47" t="str">
        <f t="shared" si="32"/>
        <v/>
      </c>
      <c r="W54" s="49">
        <f t="shared" si="15"/>
        <v>0</v>
      </c>
      <c r="X54" s="49">
        <f t="shared" si="16"/>
        <v>0</v>
      </c>
    </row>
    <row r="55" spans="1:24" ht="9.9499999999999993" customHeight="1" x14ac:dyDescent="0.25">
      <c r="A55" s="54" t="str">
        <f>IF(Срок_Кредита&lt;43,"",43)</f>
        <v/>
      </c>
      <c r="B55" s="55" t="str">
        <f t="shared" si="17"/>
        <v/>
      </c>
      <c r="C55" s="56" t="str">
        <f t="shared" si="21"/>
        <v/>
      </c>
      <c r="D55" s="56" t="str">
        <f t="shared" si="19"/>
        <v/>
      </c>
      <c r="E55" s="56" t="str">
        <f t="shared" si="3"/>
        <v/>
      </c>
      <c r="I55" s="47" t="str">
        <f t="shared" si="22"/>
        <v/>
      </c>
      <c r="J55" s="52" t="str">
        <f t="shared" si="23"/>
        <v/>
      </c>
      <c r="K55" s="52" t="str">
        <f t="shared" si="24"/>
        <v/>
      </c>
      <c r="L55" s="48" t="str">
        <f t="shared" si="25"/>
        <v/>
      </c>
      <c r="M55" s="48" t="str">
        <f t="shared" si="20"/>
        <v/>
      </c>
      <c r="N55" s="49" t="str">
        <f t="shared" si="26"/>
        <v/>
      </c>
      <c r="O55" s="53" t="str">
        <f t="shared" si="27"/>
        <v/>
      </c>
      <c r="P55" s="49" t="str">
        <f t="shared" si="18"/>
        <v/>
      </c>
      <c r="Q55" s="47" t="str">
        <f t="shared" si="28"/>
        <v/>
      </c>
      <c r="R55" s="47" t="str">
        <f t="shared" si="29"/>
        <v/>
      </c>
      <c r="S55" s="47" t="str">
        <f t="shared" si="30"/>
        <v/>
      </c>
      <c r="T55" s="47" t="str">
        <f t="shared" si="31"/>
        <v/>
      </c>
      <c r="U55" s="47" t="str">
        <f t="shared" si="32"/>
        <v/>
      </c>
      <c r="W55" s="49">
        <f t="shared" si="15"/>
        <v>0</v>
      </c>
      <c r="X55" s="49">
        <f t="shared" si="16"/>
        <v>0</v>
      </c>
    </row>
    <row r="56" spans="1:24" ht="9.9499999999999993" customHeight="1" x14ac:dyDescent="0.25">
      <c r="A56" s="54" t="str">
        <f>IF(Срок_Кредита&lt;44,"",44)</f>
        <v/>
      </c>
      <c r="B56" s="55" t="str">
        <f t="shared" si="17"/>
        <v/>
      </c>
      <c r="C56" s="56" t="str">
        <f t="shared" si="21"/>
        <v/>
      </c>
      <c r="D56" s="56" t="str">
        <f t="shared" si="19"/>
        <v/>
      </c>
      <c r="E56" s="56" t="str">
        <f t="shared" si="3"/>
        <v/>
      </c>
      <c r="I56" s="47" t="str">
        <f t="shared" si="22"/>
        <v/>
      </c>
      <c r="J56" s="52" t="str">
        <f t="shared" si="23"/>
        <v/>
      </c>
      <c r="K56" s="52" t="str">
        <f t="shared" si="24"/>
        <v/>
      </c>
      <c r="L56" s="48" t="str">
        <f t="shared" si="25"/>
        <v/>
      </c>
      <c r="M56" s="48" t="str">
        <f t="shared" si="20"/>
        <v/>
      </c>
      <c r="N56" s="49" t="str">
        <f t="shared" si="26"/>
        <v/>
      </c>
      <c r="O56" s="53" t="str">
        <f t="shared" si="27"/>
        <v/>
      </c>
      <c r="P56" s="49" t="str">
        <f t="shared" si="18"/>
        <v/>
      </c>
      <c r="Q56" s="47" t="str">
        <f t="shared" si="28"/>
        <v/>
      </c>
      <c r="R56" s="47" t="str">
        <f t="shared" si="29"/>
        <v/>
      </c>
      <c r="S56" s="47" t="str">
        <f t="shared" si="30"/>
        <v/>
      </c>
      <c r="T56" s="47" t="str">
        <f t="shared" si="31"/>
        <v/>
      </c>
      <c r="U56" s="47" t="str">
        <f t="shared" si="32"/>
        <v/>
      </c>
      <c r="W56" s="49">
        <f t="shared" si="15"/>
        <v>0</v>
      </c>
      <c r="X56" s="49">
        <f t="shared" si="16"/>
        <v>0</v>
      </c>
    </row>
    <row r="57" spans="1:24" ht="9.9499999999999993" customHeight="1" x14ac:dyDescent="0.25">
      <c r="A57" s="54" t="str">
        <f>IF(Срок_Кредита&lt;45,"",45)</f>
        <v/>
      </c>
      <c r="B57" s="55" t="str">
        <f t="shared" si="17"/>
        <v/>
      </c>
      <c r="C57" s="56" t="str">
        <f t="shared" si="21"/>
        <v/>
      </c>
      <c r="D57" s="56" t="str">
        <f t="shared" si="19"/>
        <v/>
      </c>
      <c r="E57" s="56" t="str">
        <f t="shared" si="3"/>
        <v/>
      </c>
      <c r="I57" s="47" t="str">
        <f t="shared" si="22"/>
        <v/>
      </c>
      <c r="J57" s="52" t="str">
        <f t="shared" si="23"/>
        <v/>
      </c>
      <c r="K57" s="52" t="str">
        <f t="shared" si="24"/>
        <v/>
      </c>
      <c r="L57" s="48" t="str">
        <f t="shared" si="25"/>
        <v/>
      </c>
      <c r="M57" s="48" t="str">
        <f t="shared" si="20"/>
        <v/>
      </c>
      <c r="N57" s="49" t="str">
        <f t="shared" si="26"/>
        <v/>
      </c>
      <c r="O57" s="53" t="str">
        <f t="shared" si="27"/>
        <v/>
      </c>
      <c r="P57" s="49" t="str">
        <f t="shared" si="18"/>
        <v/>
      </c>
      <c r="Q57" s="47" t="str">
        <f t="shared" si="28"/>
        <v/>
      </c>
      <c r="R57" s="47" t="str">
        <f t="shared" si="29"/>
        <v/>
      </c>
      <c r="S57" s="47" t="str">
        <f t="shared" si="30"/>
        <v/>
      </c>
      <c r="T57" s="47" t="str">
        <f t="shared" si="31"/>
        <v/>
      </c>
      <c r="U57" s="47" t="str">
        <f t="shared" si="32"/>
        <v/>
      </c>
      <c r="W57" s="49">
        <f t="shared" si="15"/>
        <v>0</v>
      </c>
      <c r="X57" s="49">
        <f t="shared" si="16"/>
        <v>0</v>
      </c>
    </row>
    <row r="58" spans="1:24" ht="9.9499999999999993" customHeight="1" x14ac:dyDescent="0.25">
      <c r="A58" s="54" t="str">
        <f>IF(Срок_Кредита&lt;46,"",46)</f>
        <v/>
      </c>
      <c r="B58" s="55" t="str">
        <f t="shared" si="17"/>
        <v/>
      </c>
      <c r="C58" s="56" t="str">
        <f t="shared" si="21"/>
        <v/>
      </c>
      <c r="D58" s="56" t="str">
        <f t="shared" si="19"/>
        <v/>
      </c>
      <c r="E58" s="56" t="str">
        <f t="shared" si="3"/>
        <v/>
      </c>
      <c r="I58" s="47" t="str">
        <f t="shared" si="22"/>
        <v/>
      </c>
      <c r="J58" s="52" t="str">
        <f t="shared" si="23"/>
        <v/>
      </c>
      <c r="K58" s="52" t="str">
        <f t="shared" si="24"/>
        <v/>
      </c>
      <c r="L58" s="48" t="str">
        <f t="shared" si="25"/>
        <v/>
      </c>
      <c r="M58" s="48" t="str">
        <f t="shared" si="20"/>
        <v/>
      </c>
      <c r="N58" s="49" t="str">
        <f t="shared" si="26"/>
        <v/>
      </c>
      <c r="O58" s="53" t="str">
        <f t="shared" si="27"/>
        <v/>
      </c>
      <c r="P58" s="49" t="str">
        <f t="shared" si="18"/>
        <v/>
      </c>
      <c r="Q58" s="47" t="str">
        <f t="shared" si="28"/>
        <v/>
      </c>
      <c r="R58" s="47" t="str">
        <f t="shared" si="29"/>
        <v/>
      </c>
      <c r="S58" s="47" t="str">
        <f t="shared" si="30"/>
        <v/>
      </c>
      <c r="T58" s="47" t="str">
        <f t="shared" si="31"/>
        <v/>
      </c>
      <c r="U58" s="47" t="str">
        <f t="shared" si="32"/>
        <v/>
      </c>
      <c r="W58" s="49">
        <f t="shared" si="15"/>
        <v>0</v>
      </c>
      <c r="X58" s="49">
        <f t="shared" si="16"/>
        <v>0</v>
      </c>
    </row>
    <row r="59" spans="1:24" ht="9.9499999999999993" customHeight="1" x14ac:dyDescent="0.25">
      <c r="A59" s="54" t="str">
        <f>IF(Срок_Кредита&lt;47,"",47)</f>
        <v/>
      </c>
      <c r="B59" s="55" t="str">
        <f t="shared" si="17"/>
        <v/>
      </c>
      <c r="C59" s="56" t="str">
        <f t="shared" si="21"/>
        <v/>
      </c>
      <c r="D59" s="56" t="str">
        <f t="shared" si="19"/>
        <v/>
      </c>
      <c r="E59" s="56" t="str">
        <f t="shared" si="3"/>
        <v/>
      </c>
      <c r="I59" s="47" t="str">
        <f t="shared" si="22"/>
        <v/>
      </c>
      <c r="J59" s="52" t="str">
        <f t="shared" si="23"/>
        <v/>
      </c>
      <c r="K59" s="52" t="str">
        <f t="shared" si="24"/>
        <v/>
      </c>
      <c r="L59" s="48" t="str">
        <f t="shared" si="25"/>
        <v/>
      </c>
      <c r="M59" s="48" t="str">
        <f t="shared" si="20"/>
        <v/>
      </c>
      <c r="N59" s="49" t="str">
        <f t="shared" si="26"/>
        <v/>
      </c>
      <c r="O59" s="53" t="str">
        <f t="shared" si="27"/>
        <v/>
      </c>
      <c r="P59" s="49" t="str">
        <f t="shared" si="18"/>
        <v/>
      </c>
      <c r="Q59" s="47" t="str">
        <f t="shared" si="28"/>
        <v/>
      </c>
      <c r="R59" s="47" t="str">
        <f t="shared" si="29"/>
        <v/>
      </c>
      <c r="S59" s="47" t="str">
        <f t="shared" si="30"/>
        <v/>
      </c>
      <c r="T59" s="47" t="str">
        <f t="shared" si="31"/>
        <v/>
      </c>
      <c r="U59" s="47" t="str">
        <f t="shared" si="32"/>
        <v/>
      </c>
      <c r="W59" s="49">
        <f t="shared" si="15"/>
        <v>0</v>
      </c>
      <c r="X59" s="49">
        <f t="shared" si="16"/>
        <v>0</v>
      </c>
    </row>
    <row r="60" spans="1:24" ht="9.9499999999999993" customHeight="1" x14ac:dyDescent="0.25">
      <c r="A60" s="54" t="str">
        <f>IF(Срок_Кредита&lt;48,"",48)</f>
        <v/>
      </c>
      <c r="B60" s="55" t="str">
        <f t="shared" si="17"/>
        <v/>
      </c>
      <c r="C60" s="56" t="str">
        <f t="shared" si="21"/>
        <v/>
      </c>
      <c r="D60" s="56" t="str">
        <f t="shared" si="19"/>
        <v/>
      </c>
      <c r="E60" s="56" t="str">
        <f t="shared" si="3"/>
        <v/>
      </c>
      <c r="I60" s="47" t="str">
        <f t="shared" si="22"/>
        <v/>
      </c>
      <c r="J60" s="52" t="str">
        <f t="shared" si="23"/>
        <v/>
      </c>
      <c r="K60" s="52" t="str">
        <f t="shared" si="24"/>
        <v/>
      </c>
      <c r="L60" s="48" t="str">
        <f t="shared" si="25"/>
        <v/>
      </c>
      <c r="M60" s="48" t="str">
        <f t="shared" si="20"/>
        <v/>
      </c>
      <c r="N60" s="49" t="str">
        <f t="shared" si="26"/>
        <v/>
      </c>
      <c r="O60" s="53" t="str">
        <f t="shared" si="27"/>
        <v/>
      </c>
      <c r="P60" s="49" t="str">
        <f t="shared" si="18"/>
        <v/>
      </c>
      <c r="Q60" s="47" t="str">
        <f t="shared" si="28"/>
        <v/>
      </c>
      <c r="R60" s="47" t="str">
        <f t="shared" si="29"/>
        <v/>
      </c>
      <c r="S60" s="47" t="str">
        <f t="shared" si="30"/>
        <v/>
      </c>
      <c r="T60" s="47" t="str">
        <f t="shared" si="31"/>
        <v/>
      </c>
      <c r="U60" s="47" t="str">
        <f t="shared" si="32"/>
        <v/>
      </c>
      <c r="W60" s="49">
        <f t="shared" si="15"/>
        <v>0</v>
      </c>
      <c r="X60" s="49">
        <f t="shared" si="16"/>
        <v>0</v>
      </c>
    </row>
    <row r="61" spans="1:24" ht="9.9499999999999993" customHeight="1" x14ac:dyDescent="0.25">
      <c r="A61" s="54" t="str">
        <f>IF(Срок_Кредита&lt;49,"",49)</f>
        <v/>
      </c>
      <c r="B61" s="55" t="str">
        <f t="shared" si="17"/>
        <v/>
      </c>
      <c r="C61" s="56" t="str">
        <f t="shared" si="21"/>
        <v/>
      </c>
      <c r="D61" s="56" t="str">
        <f t="shared" si="19"/>
        <v/>
      </c>
      <c r="E61" s="56" t="str">
        <f t="shared" si="3"/>
        <v/>
      </c>
      <c r="I61" s="47" t="str">
        <f t="shared" si="22"/>
        <v/>
      </c>
      <c r="J61" s="52" t="str">
        <f t="shared" si="23"/>
        <v/>
      </c>
      <c r="K61" s="52" t="str">
        <f t="shared" si="24"/>
        <v/>
      </c>
      <c r="L61" s="48" t="str">
        <f t="shared" si="25"/>
        <v/>
      </c>
      <c r="M61" s="48" t="str">
        <f t="shared" si="20"/>
        <v/>
      </c>
      <c r="N61" s="49" t="str">
        <f t="shared" si="26"/>
        <v/>
      </c>
      <c r="O61" s="53" t="str">
        <f t="shared" si="27"/>
        <v/>
      </c>
      <c r="P61" s="49" t="str">
        <f t="shared" si="18"/>
        <v/>
      </c>
      <c r="Q61" s="47" t="str">
        <f t="shared" si="28"/>
        <v/>
      </c>
      <c r="R61" s="47" t="str">
        <f t="shared" si="29"/>
        <v/>
      </c>
      <c r="S61" s="47" t="str">
        <f t="shared" si="30"/>
        <v/>
      </c>
      <c r="T61" s="47" t="str">
        <f t="shared" si="31"/>
        <v/>
      </c>
      <c r="U61" s="47" t="str">
        <f t="shared" si="32"/>
        <v/>
      </c>
      <c r="W61" s="49">
        <f t="shared" si="15"/>
        <v>0</v>
      </c>
      <c r="X61" s="49">
        <f t="shared" si="16"/>
        <v>0</v>
      </c>
    </row>
    <row r="62" spans="1:24" ht="9.9499999999999993" customHeight="1" x14ac:dyDescent="0.25">
      <c r="A62" s="54" t="str">
        <f>IF(Срок_Кредита&lt;50,"",50)</f>
        <v/>
      </c>
      <c r="B62" s="55" t="str">
        <f t="shared" si="17"/>
        <v/>
      </c>
      <c r="C62" s="56" t="str">
        <f t="shared" si="21"/>
        <v/>
      </c>
      <c r="D62" s="56" t="str">
        <f t="shared" si="19"/>
        <v/>
      </c>
      <c r="E62" s="56" t="str">
        <f t="shared" si="3"/>
        <v/>
      </c>
      <c r="I62" s="47" t="str">
        <f t="shared" si="22"/>
        <v/>
      </c>
      <c r="J62" s="52" t="str">
        <f t="shared" si="23"/>
        <v/>
      </c>
      <c r="K62" s="52" t="str">
        <f t="shared" si="24"/>
        <v/>
      </c>
      <c r="L62" s="48" t="str">
        <f t="shared" si="25"/>
        <v/>
      </c>
      <c r="M62" s="48" t="str">
        <f t="shared" si="20"/>
        <v/>
      </c>
      <c r="N62" s="49" t="str">
        <f t="shared" si="26"/>
        <v/>
      </c>
      <c r="O62" s="53" t="str">
        <f t="shared" si="27"/>
        <v/>
      </c>
      <c r="P62" s="49" t="str">
        <f t="shared" si="18"/>
        <v/>
      </c>
      <c r="Q62" s="47" t="str">
        <f t="shared" si="28"/>
        <v/>
      </c>
      <c r="R62" s="47" t="str">
        <f t="shared" si="29"/>
        <v/>
      </c>
      <c r="S62" s="47" t="str">
        <f t="shared" si="30"/>
        <v/>
      </c>
      <c r="T62" s="47" t="str">
        <f t="shared" si="31"/>
        <v/>
      </c>
      <c r="U62" s="47" t="str">
        <f t="shared" si="32"/>
        <v/>
      </c>
      <c r="W62" s="49">
        <f t="shared" si="15"/>
        <v>0</v>
      </c>
      <c r="X62" s="49">
        <f t="shared" si="16"/>
        <v>0</v>
      </c>
    </row>
    <row r="63" spans="1:24" ht="9.9499999999999993" customHeight="1" x14ac:dyDescent="0.25">
      <c r="A63" s="54" t="str">
        <f>IF(Срок_Кредита&lt;51,"",51)</f>
        <v/>
      </c>
      <c r="B63" s="55" t="str">
        <f t="shared" si="17"/>
        <v/>
      </c>
      <c r="C63" s="56" t="str">
        <f t="shared" si="21"/>
        <v/>
      </c>
      <c r="D63" s="56" t="str">
        <f t="shared" si="19"/>
        <v/>
      </c>
      <c r="E63" s="56" t="str">
        <f t="shared" si="3"/>
        <v/>
      </c>
      <c r="I63" s="47" t="str">
        <f t="shared" si="22"/>
        <v/>
      </c>
      <c r="J63" s="52" t="str">
        <f t="shared" si="23"/>
        <v/>
      </c>
      <c r="K63" s="52" t="str">
        <f t="shared" si="24"/>
        <v/>
      </c>
      <c r="L63" s="48" t="str">
        <f t="shared" si="25"/>
        <v/>
      </c>
      <c r="M63" s="48" t="str">
        <f t="shared" si="20"/>
        <v/>
      </c>
      <c r="N63" s="49" t="str">
        <f t="shared" si="26"/>
        <v/>
      </c>
      <c r="O63" s="53" t="str">
        <f t="shared" si="27"/>
        <v/>
      </c>
      <c r="P63" s="49" t="str">
        <f t="shared" si="18"/>
        <v/>
      </c>
      <c r="Q63" s="47" t="str">
        <f t="shared" si="28"/>
        <v/>
      </c>
      <c r="R63" s="47" t="str">
        <f t="shared" si="29"/>
        <v/>
      </c>
      <c r="S63" s="47" t="str">
        <f t="shared" si="30"/>
        <v/>
      </c>
      <c r="T63" s="47" t="str">
        <f t="shared" si="31"/>
        <v/>
      </c>
      <c r="U63" s="47" t="str">
        <f t="shared" si="32"/>
        <v/>
      </c>
      <c r="W63" s="49">
        <f t="shared" si="15"/>
        <v>0</v>
      </c>
      <c r="X63" s="49">
        <f t="shared" si="16"/>
        <v>0</v>
      </c>
    </row>
    <row r="64" spans="1:24" ht="9.9499999999999993" customHeight="1" x14ac:dyDescent="0.25">
      <c r="A64" s="54" t="str">
        <f>IF(Срок_Кредита&lt;52,"",52)</f>
        <v/>
      </c>
      <c r="B64" s="55" t="str">
        <f t="shared" si="17"/>
        <v/>
      </c>
      <c r="C64" s="56" t="str">
        <f t="shared" si="21"/>
        <v/>
      </c>
      <c r="D64" s="56" t="str">
        <f t="shared" si="19"/>
        <v/>
      </c>
      <c r="E64" s="56" t="str">
        <f t="shared" si="3"/>
        <v/>
      </c>
      <c r="I64" s="47" t="str">
        <f t="shared" si="22"/>
        <v/>
      </c>
      <c r="J64" s="52" t="str">
        <f t="shared" si="23"/>
        <v/>
      </c>
      <c r="K64" s="52" t="str">
        <f t="shared" si="24"/>
        <v/>
      </c>
      <c r="L64" s="48" t="str">
        <f t="shared" si="25"/>
        <v/>
      </c>
      <c r="M64" s="48" t="str">
        <f t="shared" si="20"/>
        <v/>
      </c>
      <c r="N64" s="49" t="str">
        <f t="shared" si="26"/>
        <v/>
      </c>
      <c r="O64" s="53" t="str">
        <f t="shared" si="27"/>
        <v/>
      </c>
      <c r="P64" s="49" t="str">
        <f t="shared" si="18"/>
        <v/>
      </c>
      <c r="Q64" s="47" t="str">
        <f t="shared" si="28"/>
        <v/>
      </c>
      <c r="R64" s="47" t="str">
        <f t="shared" si="29"/>
        <v/>
      </c>
      <c r="S64" s="47" t="str">
        <f t="shared" si="30"/>
        <v/>
      </c>
      <c r="T64" s="47" t="str">
        <f t="shared" si="31"/>
        <v/>
      </c>
      <c r="U64" s="47" t="str">
        <f t="shared" si="32"/>
        <v/>
      </c>
      <c r="W64" s="49">
        <f t="shared" si="15"/>
        <v>0</v>
      </c>
      <c r="X64" s="49">
        <f t="shared" si="16"/>
        <v>0</v>
      </c>
    </row>
    <row r="65" spans="1:24" ht="9.9499999999999993" customHeight="1" x14ac:dyDescent="0.25">
      <c r="A65" s="54" t="str">
        <f>IF(Срок_Кредита&lt;53,"",53)</f>
        <v/>
      </c>
      <c r="B65" s="55" t="str">
        <f t="shared" si="17"/>
        <v/>
      </c>
      <c r="C65" s="56" t="str">
        <f t="shared" si="21"/>
        <v/>
      </c>
      <c r="D65" s="56" t="str">
        <f t="shared" si="19"/>
        <v/>
      </c>
      <c r="E65" s="56" t="str">
        <f t="shared" si="3"/>
        <v/>
      </c>
      <c r="I65" s="47" t="str">
        <f t="shared" si="22"/>
        <v/>
      </c>
      <c r="J65" s="52" t="str">
        <f t="shared" si="23"/>
        <v/>
      </c>
      <c r="K65" s="52" t="str">
        <f t="shared" si="24"/>
        <v/>
      </c>
      <c r="L65" s="48" t="str">
        <f t="shared" si="25"/>
        <v/>
      </c>
      <c r="M65" s="48" t="str">
        <f t="shared" si="20"/>
        <v/>
      </c>
      <c r="N65" s="49" t="str">
        <f t="shared" si="26"/>
        <v/>
      </c>
      <c r="O65" s="53" t="str">
        <f t="shared" si="27"/>
        <v/>
      </c>
      <c r="P65" s="49" t="str">
        <f t="shared" si="18"/>
        <v/>
      </c>
      <c r="Q65" s="47" t="str">
        <f t="shared" si="28"/>
        <v/>
      </c>
      <c r="R65" s="47" t="str">
        <f t="shared" si="29"/>
        <v/>
      </c>
      <c r="S65" s="47" t="str">
        <f t="shared" si="30"/>
        <v/>
      </c>
      <c r="T65" s="47" t="str">
        <f t="shared" si="31"/>
        <v/>
      </c>
      <c r="U65" s="47" t="str">
        <f t="shared" si="32"/>
        <v/>
      </c>
      <c r="W65" s="49">
        <f t="shared" si="15"/>
        <v>0</v>
      </c>
      <c r="X65" s="49">
        <f t="shared" si="16"/>
        <v>0</v>
      </c>
    </row>
    <row r="66" spans="1:24" ht="9.9499999999999993" customHeight="1" x14ac:dyDescent="0.25">
      <c r="A66" s="54" t="str">
        <f>IF(Срок_Кредита&lt;54,"",54)</f>
        <v/>
      </c>
      <c r="B66" s="55" t="str">
        <f t="shared" si="17"/>
        <v/>
      </c>
      <c r="C66" s="56" t="str">
        <f t="shared" si="21"/>
        <v/>
      </c>
      <c r="D66" s="56" t="str">
        <f t="shared" si="19"/>
        <v/>
      </c>
      <c r="E66" s="56" t="str">
        <f t="shared" si="3"/>
        <v/>
      </c>
      <c r="I66" s="47" t="str">
        <f t="shared" si="22"/>
        <v/>
      </c>
      <c r="J66" s="52" t="str">
        <f t="shared" si="23"/>
        <v/>
      </c>
      <c r="K66" s="52" t="str">
        <f t="shared" si="24"/>
        <v/>
      </c>
      <c r="L66" s="48" t="str">
        <f t="shared" si="25"/>
        <v/>
      </c>
      <c r="M66" s="48" t="str">
        <f t="shared" si="20"/>
        <v/>
      </c>
      <c r="N66" s="49" t="str">
        <f t="shared" si="26"/>
        <v/>
      </c>
      <c r="O66" s="53" t="str">
        <f t="shared" si="27"/>
        <v/>
      </c>
      <c r="P66" s="49" t="str">
        <f t="shared" si="18"/>
        <v/>
      </c>
      <c r="Q66" s="47" t="str">
        <f t="shared" si="28"/>
        <v/>
      </c>
      <c r="R66" s="47" t="str">
        <f t="shared" si="29"/>
        <v/>
      </c>
      <c r="S66" s="47" t="str">
        <f t="shared" si="30"/>
        <v/>
      </c>
      <c r="T66" s="47" t="str">
        <f t="shared" si="31"/>
        <v/>
      </c>
      <c r="U66" s="47" t="str">
        <f t="shared" si="32"/>
        <v/>
      </c>
      <c r="W66" s="49">
        <f t="shared" si="15"/>
        <v>0</v>
      </c>
      <c r="X66" s="49">
        <f t="shared" si="16"/>
        <v>0</v>
      </c>
    </row>
    <row r="67" spans="1:24" ht="9.9499999999999993" customHeight="1" x14ac:dyDescent="0.25">
      <c r="A67" s="54" t="str">
        <f>IF(Срок_Кредита&lt;55,"",55)</f>
        <v/>
      </c>
      <c r="B67" s="55" t="str">
        <f t="shared" si="17"/>
        <v/>
      </c>
      <c r="C67" s="56" t="str">
        <f t="shared" si="21"/>
        <v/>
      </c>
      <c r="D67" s="56" t="str">
        <f t="shared" si="19"/>
        <v/>
      </c>
      <c r="E67" s="56" t="str">
        <f t="shared" si="3"/>
        <v/>
      </c>
      <c r="I67" s="47" t="str">
        <f t="shared" si="22"/>
        <v/>
      </c>
      <c r="J67" s="52" t="str">
        <f t="shared" si="23"/>
        <v/>
      </c>
      <c r="K67" s="52" t="str">
        <f t="shared" si="24"/>
        <v/>
      </c>
      <c r="L67" s="48" t="str">
        <f t="shared" si="25"/>
        <v/>
      </c>
      <c r="M67" s="48" t="str">
        <f t="shared" si="20"/>
        <v/>
      </c>
      <c r="N67" s="49" t="str">
        <f t="shared" si="26"/>
        <v/>
      </c>
      <c r="O67" s="53" t="str">
        <f t="shared" si="27"/>
        <v/>
      </c>
      <c r="P67" s="49" t="str">
        <f t="shared" si="18"/>
        <v/>
      </c>
      <c r="Q67" s="47" t="str">
        <f t="shared" si="28"/>
        <v/>
      </c>
      <c r="R67" s="47" t="str">
        <f t="shared" si="29"/>
        <v/>
      </c>
      <c r="S67" s="47" t="str">
        <f t="shared" si="30"/>
        <v/>
      </c>
      <c r="T67" s="47" t="str">
        <f t="shared" si="31"/>
        <v/>
      </c>
      <c r="U67" s="47" t="str">
        <f t="shared" si="32"/>
        <v/>
      </c>
      <c r="W67" s="49">
        <f t="shared" si="15"/>
        <v>0</v>
      </c>
      <c r="X67" s="49">
        <f t="shared" si="16"/>
        <v>0</v>
      </c>
    </row>
    <row r="68" spans="1:24" ht="9.9499999999999993" customHeight="1" x14ac:dyDescent="0.25">
      <c r="A68" s="54" t="str">
        <f>IF(Срок_Кредита&lt;56,"",56)</f>
        <v/>
      </c>
      <c r="B68" s="55" t="str">
        <f t="shared" si="17"/>
        <v/>
      </c>
      <c r="C68" s="56" t="str">
        <f t="shared" si="21"/>
        <v/>
      </c>
      <c r="D68" s="56" t="str">
        <f t="shared" si="19"/>
        <v/>
      </c>
      <c r="E68" s="56" t="str">
        <f t="shared" si="3"/>
        <v/>
      </c>
      <c r="I68" s="47" t="str">
        <f t="shared" si="22"/>
        <v/>
      </c>
      <c r="J68" s="52" t="str">
        <f t="shared" si="23"/>
        <v/>
      </c>
      <c r="K68" s="52" t="str">
        <f t="shared" si="24"/>
        <v/>
      </c>
      <c r="L68" s="48" t="str">
        <f t="shared" si="25"/>
        <v/>
      </c>
      <c r="M68" s="48" t="str">
        <f t="shared" si="20"/>
        <v/>
      </c>
      <c r="N68" s="49" t="str">
        <f t="shared" si="26"/>
        <v/>
      </c>
      <c r="O68" s="53" t="str">
        <f t="shared" si="27"/>
        <v/>
      </c>
      <c r="P68" s="49" t="str">
        <f t="shared" si="18"/>
        <v/>
      </c>
      <c r="Q68" s="47" t="str">
        <f t="shared" si="28"/>
        <v/>
      </c>
      <c r="R68" s="47" t="str">
        <f t="shared" si="29"/>
        <v/>
      </c>
      <c r="S68" s="47" t="str">
        <f t="shared" si="30"/>
        <v/>
      </c>
      <c r="T68" s="47" t="str">
        <f t="shared" si="31"/>
        <v/>
      </c>
      <c r="U68" s="47" t="str">
        <f t="shared" si="32"/>
        <v/>
      </c>
      <c r="W68" s="49">
        <f t="shared" si="15"/>
        <v>0</v>
      </c>
      <c r="X68" s="49">
        <f t="shared" si="16"/>
        <v>0</v>
      </c>
    </row>
    <row r="69" spans="1:24" ht="9.9499999999999993" customHeight="1" x14ac:dyDescent="0.25">
      <c r="A69" s="54" t="str">
        <f>IF(Срок_Кредита&lt;57,"",57)</f>
        <v/>
      </c>
      <c r="B69" s="55" t="str">
        <f t="shared" si="17"/>
        <v/>
      </c>
      <c r="C69" s="56" t="str">
        <f t="shared" si="21"/>
        <v/>
      </c>
      <c r="D69" s="56" t="str">
        <f t="shared" si="19"/>
        <v/>
      </c>
      <c r="E69" s="56" t="str">
        <f t="shared" si="3"/>
        <v/>
      </c>
      <c r="I69" s="47" t="str">
        <f t="shared" si="22"/>
        <v/>
      </c>
      <c r="J69" s="52" t="str">
        <f t="shared" si="23"/>
        <v/>
      </c>
      <c r="K69" s="52" t="str">
        <f t="shared" si="24"/>
        <v/>
      </c>
      <c r="L69" s="48" t="str">
        <f t="shared" si="25"/>
        <v/>
      </c>
      <c r="M69" s="48" t="str">
        <f t="shared" si="20"/>
        <v/>
      </c>
      <c r="N69" s="49" t="str">
        <f t="shared" si="26"/>
        <v/>
      </c>
      <c r="O69" s="53" t="str">
        <f t="shared" si="27"/>
        <v/>
      </c>
      <c r="P69" s="49" t="str">
        <f t="shared" si="18"/>
        <v/>
      </c>
      <c r="Q69" s="47" t="str">
        <f t="shared" si="28"/>
        <v/>
      </c>
      <c r="R69" s="47" t="str">
        <f t="shared" si="29"/>
        <v/>
      </c>
      <c r="S69" s="47" t="str">
        <f t="shared" si="30"/>
        <v/>
      </c>
      <c r="T69" s="47" t="str">
        <f t="shared" si="31"/>
        <v/>
      </c>
      <c r="U69" s="47" t="str">
        <f t="shared" si="32"/>
        <v/>
      </c>
      <c r="W69" s="49">
        <f t="shared" si="15"/>
        <v>0</v>
      </c>
      <c r="X69" s="49">
        <f t="shared" si="16"/>
        <v>0</v>
      </c>
    </row>
    <row r="70" spans="1:24" ht="9.9499999999999993" customHeight="1" x14ac:dyDescent="0.25">
      <c r="A70" s="54" t="str">
        <f>IF(Срок_Кредита&lt;58,"",58)</f>
        <v/>
      </c>
      <c r="B70" s="55" t="str">
        <f t="shared" si="17"/>
        <v/>
      </c>
      <c r="C70" s="56" t="str">
        <f t="shared" si="21"/>
        <v/>
      </c>
      <c r="D70" s="56" t="str">
        <f t="shared" si="19"/>
        <v/>
      </c>
      <c r="E70" s="56" t="str">
        <f t="shared" si="3"/>
        <v/>
      </c>
      <c r="I70" s="47" t="str">
        <f t="shared" si="22"/>
        <v/>
      </c>
      <c r="J70" s="52" t="str">
        <f t="shared" si="23"/>
        <v/>
      </c>
      <c r="K70" s="52" t="str">
        <f t="shared" si="24"/>
        <v/>
      </c>
      <c r="L70" s="48" t="str">
        <f t="shared" si="25"/>
        <v/>
      </c>
      <c r="M70" s="48" t="str">
        <f t="shared" si="20"/>
        <v/>
      </c>
      <c r="N70" s="49" t="str">
        <f t="shared" si="26"/>
        <v/>
      </c>
      <c r="O70" s="53" t="str">
        <f t="shared" si="27"/>
        <v/>
      </c>
      <c r="P70" s="49" t="str">
        <f t="shared" si="18"/>
        <v/>
      </c>
      <c r="Q70" s="47" t="str">
        <f t="shared" si="28"/>
        <v/>
      </c>
      <c r="R70" s="47" t="str">
        <f t="shared" si="29"/>
        <v/>
      </c>
      <c r="S70" s="47" t="str">
        <f t="shared" si="30"/>
        <v/>
      </c>
      <c r="T70" s="47" t="str">
        <f t="shared" si="31"/>
        <v/>
      </c>
      <c r="U70" s="47" t="str">
        <f t="shared" si="32"/>
        <v/>
      </c>
      <c r="W70" s="49">
        <f t="shared" si="15"/>
        <v>0</v>
      </c>
      <c r="X70" s="49">
        <f t="shared" si="16"/>
        <v>0</v>
      </c>
    </row>
    <row r="71" spans="1:24" ht="9.9499999999999993" customHeight="1" x14ac:dyDescent="0.25">
      <c r="A71" s="54" t="str">
        <f>IF(Срок_Кредита&lt;59,"",59)</f>
        <v/>
      </c>
      <c r="B71" s="55" t="str">
        <f t="shared" si="17"/>
        <v/>
      </c>
      <c r="C71" s="56" t="str">
        <f t="shared" si="21"/>
        <v/>
      </c>
      <c r="D71" s="56" t="str">
        <f t="shared" si="19"/>
        <v/>
      </c>
      <c r="E71" s="56" t="str">
        <f t="shared" si="3"/>
        <v/>
      </c>
      <c r="I71" s="47" t="str">
        <f t="shared" si="22"/>
        <v/>
      </c>
      <c r="J71" s="52" t="str">
        <f t="shared" si="23"/>
        <v/>
      </c>
      <c r="K71" s="52" t="str">
        <f t="shared" si="24"/>
        <v/>
      </c>
      <c r="L71" s="48" t="str">
        <f t="shared" si="25"/>
        <v/>
      </c>
      <c r="M71" s="48" t="str">
        <f t="shared" si="20"/>
        <v/>
      </c>
      <c r="N71" s="49" t="str">
        <f t="shared" si="26"/>
        <v/>
      </c>
      <c r="O71" s="53" t="str">
        <f t="shared" si="27"/>
        <v/>
      </c>
      <c r="P71" s="49" t="str">
        <f t="shared" si="18"/>
        <v/>
      </c>
      <c r="Q71" s="47" t="str">
        <f t="shared" si="28"/>
        <v/>
      </c>
      <c r="R71" s="47" t="str">
        <f t="shared" si="29"/>
        <v/>
      </c>
      <c r="S71" s="47" t="str">
        <f t="shared" si="30"/>
        <v/>
      </c>
      <c r="T71" s="47" t="str">
        <f t="shared" si="31"/>
        <v/>
      </c>
      <c r="U71" s="47" t="str">
        <f t="shared" si="32"/>
        <v/>
      </c>
      <c r="W71" s="49">
        <f t="shared" si="15"/>
        <v>0</v>
      </c>
      <c r="X71" s="49">
        <f t="shared" si="16"/>
        <v>0</v>
      </c>
    </row>
    <row r="72" spans="1:24" ht="9.9499999999999993" customHeight="1" x14ac:dyDescent="0.25">
      <c r="A72" s="54" t="str">
        <f>IF(Срок_Кредита&lt;60,"",60)</f>
        <v/>
      </c>
      <c r="B72" s="55" t="str">
        <f t="shared" si="17"/>
        <v/>
      </c>
      <c r="C72" s="56" t="str">
        <f t="shared" si="21"/>
        <v/>
      </c>
      <c r="D72" s="56" t="str">
        <f t="shared" si="19"/>
        <v/>
      </c>
      <c r="E72" s="56" t="str">
        <f t="shared" si="3"/>
        <v/>
      </c>
      <c r="I72" s="47" t="str">
        <f t="shared" si="22"/>
        <v/>
      </c>
      <c r="J72" s="52" t="str">
        <f t="shared" si="23"/>
        <v/>
      </c>
      <c r="K72" s="52" t="str">
        <f t="shared" si="24"/>
        <v/>
      </c>
      <c r="L72" s="48" t="str">
        <f t="shared" si="25"/>
        <v/>
      </c>
      <c r="M72" s="48" t="str">
        <f t="shared" si="20"/>
        <v/>
      </c>
      <c r="N72" s="49" t="str">
        <f t="shared" si="26"/>
        <v/>
      </c>
      <c r="O72" s="53" t="str">
        <f t="shared" si="27"/>
        <v/>
      </c>
      <c r="P72" s="49" t="str">
        <f t="shared" si="18"/>
        <v/>
      </c>
      <c r="Q72" s="47" t="str">
        <f t="shared" si="28"/>
        <v/>
      </c>
      <c r="R72" s="47" t="str">
        <f t="shared" si="29"/>
        <v/>
      </c>
      <c r="S72" s="47" t="str">
        <f t="shared" si="30"/>
        <v/>
      </c>
      <c r="T72" s="47" t="str">
        <f t="shared" si="31"/>
        <v/>
      </c>
      <c r="U72" s="47" t="str">
        <f t="shared" si="32"/>
        <v/>
      </c>
      <c r="W72" s="49">
        <f t="shared" si="15"/>
        <v>0</v>
      </c>
      <c r="X72" s="49">
        <f t="shared" si="16"/>
        <v>0</v>
      </c>
    </row>
    <row r="73" spans="1:24" ht="9.9499999999999993" customHeight="1" x14ac:dyDescent="0.25">
      <c r="A73" s="54" t="str">
        <f>IF(Срок_Кредита&lt;61,"",61)</f>
        <v/>
      </c>
      <c r="B73" s="55" t="str">
        <f t="shared" si="17"/>
        <v/>
      </c>
      <c r="C73" s="56" t="str">
        <f t="shared" si="21"/>
        <v/>
      </c>
      <c r="D73" s="56" t="str">
        <f t="shared" si="19"/>
        <v/>
      </c>
      <c r="E73" s="56" t="str">
        <f t="shared" si="3"/>
        <v/>
      </c>
      <c r="I73" s="47" t="str">
        <f t="shared" si="22"/>
        <v/>
      </c>
      <c r="J73" s="52" t="str">
        <f t="shared" si="23"/>
        <v/>
      </c>
      <c r="K73" s="52" t="str">
        <f t="shared" si="24"/>
        <v/>
      </c>
      <c r="L73" s="48" t="str">
        <f t="shared" si="25"/>
        <v/>
      </c>
      <c r="M73" s="48" t="str">
        <f t="shared" si="20"/>
        <v/>
      </c>
      <c r="N73" s="49" t="str">
        <f t="shared" si="26"/>
        <v/>
      </c>
      <c r="O73" s="53" t="str">
        <f t="shared" si="27"/>
        <v/>
      </c>
      <c r="P73" s="49" t="str">
        <f t="shared" si="18"/>
        <v/>
      </c>
      <c r="Q73" s="47" t="str">
        <f t="shared" si="28"/>
        <v/>
      </c>
      <c r="R73" s="47" t="str">
        <f t="shared" si="29"/>
        <v/>
      </c>
      <c r="S73" s="47" t="str">
        <f t="shared" si="30"/>
        <v/>
      </c>
      <c r="T73" s="47" t="str">
        <f t="shared" si="31"/>
        <v/>
      </c>
      <c r="U73" s="47" t="str">
        <f t="shared" si="32"/>
        <v/>
      </c>
      <c r="W73" s="49">
        <f t="shared" si="15"/>
        <v>0</v>
      </c>
      <c r="X73" s="49">
        <f t="shared" si="16"/>
        <v>0</v>
      </c>
    </row>
    <row r="74" spans="1:24" ht="9.9499999999999993" customHeight="1" x14ac:dyDescent="0.25">
      <c r="A74" s="54" t="str">
        <f>IF(Срок_Кредита&lt;62,"",62)</f>
        <v/>
      </c>
      <c r="B74" s="55" t="str">
        <f t="shared" si="17"/>
        <v/>
      </c>
      <c r="C74" s="56" t="str">
        <f t="shared" si="21"/>
        <v/>
      </c>
      <c r="D74" s="56" t="str">
        <f t="shared" si="19"/>
        <v/>
      </c>
      <c r="E74" s="56" t="str">
        <f t="shared" si="3"/>
        <v/>
      </c>
      <c r="I74" s="47" t="str">
        <f t="shared" si="22"/>
        <v/>
      </c>
      <c r="J74" s="52" t="str">
        <f t="shared" si="23"/>
        <v/>
      </c>
      <c r="K74" s="52" t="str">
        <f t="shared" si="24"/>
        <v/>
      </c>
      <c r="L74" s="48" t="str">
        <f t="shared" si="25"/>
        <v/>
      </c>
      <c r="M74" s="48" t="str">
        <f t="shared" si="20"/>
        <v/>
      </c>
      <c r="N74" s="49" t="str">
        <f t="shared" si="26"/>
        <v/>
      </c>
      <c r="O74" s="53" t="str">
        <f t="shared" si="27"/>
        <v/>
      </c>
      <c r="P74" s="49" t="str">
        <f t="shared" si="18"/>
        <v/>
      </c>
      <c r="Q74" s="47" t="str">
        <f t="shared" si="28"/>
        <v/>
      </c>
      <c r="R74" s="47" t="str">
        <f t="shared" si="29"/>
        <v/>
      </c>
      <c r="S74" s="47" t="str">
        <f t="shared" si="30"/>
        <v/>
      </c>
      <c r="T74" s="47" t="str">
        <f t="shared" si="31"/>
        <v/>
      </c>
      <c r="U74" s="47" t="str">
        <f t="shared" si="32"/>
        <v/>
      </c>
      <c r="W74" s="49">
        <f t="shared" si="15"/>
        <v>0</v>
      </c>
      <c r="X74" s="49">
        <f t="shared" si="16"/>
        <v>0</v>
      </c>
    </row>
    <row r="75" spans="1:24" ht="9.9499999999999993" customHeight="1" x14ac:dyDescent="0.25">
      <c r="A75" s="54" t="str">
        <f>IF(Срок_Кредита&lt;63,"",63)</f>
        <v/>
      </c>
      <c r="B75" s="55" t="str">
        <f t="shared" si="17"/>
        <v/>
      </c>
      <c r="C75" s="56" t="str">
        <f t="shared" si="21"/>
        <v/>
      </c>
      <c r="D75" s="56" t="str">
        <f t="shared" si="19"/>
        <v/>
      </c>
      <c r="E75" s="56" t="str">
        <f t="shared" si="3"/>
        <v/>
      </c>
      <c r="I75" s="47" t="str">
        <f t="shared" si="22"/>
        <v/>
      </c>
      <c r="J75" s="52" t="str">
        <f t="shared" si="23"/>
        <v/>
      </c>
      <c r="K75" s="52" t="str">
        <f t="shared" si="24"/>
        <v/>
      </c>
      <c r="L75" s="48" t="str">
        <f t="shared" si="25"/>
        <v/>
      </c>
      <c r="M75" s="48" t="str">
        <f t="shared" si="20"/>
        <v/>
      </c>
      <c r="N75" s="49" t="str">
        <f t="shared" si="26"/>
        <v/>
      </c>
      <c r="O75" s="53" t="str">
        <f t="shared" si="27"/>
        <v/>
      </c>
      <c r="P75" s="49" t="str">
        <f t="shared" si="18"/>
        <v/>
      </c>
      <c r="Q75" s="47" t="str">
        <f t="shared" si="28"/>
        <v/>
      </c>
      <c r="R75" s="47" t="str">
        <f t="shared" si="29"/>
        <v/>
      </c>
      <c r="S75" s="47" t="str">
        <f t="shared" si="30"/>
        <v/>
      </c>
      <c r="T75" s="47" t="str">
        <f t="shared" si="31"/>
        <v/>
      </c>
      <c r="U75" s="47" t="str">
        <f t="shared" si="32"/>
        <v/>
      </c>
      <c r="W75" s="49">
        <f t="shared" si="15"/>
        <v>0</v>
      </c>
      <c r="X75" s="49">
        <f t="shared" si="16"/>
        <v>0</v>
      </c>
    </row>
    <row r="76" spans="1:24" ht="9.9499999999999993" customHeight="1" x14ac:dyDescent="0.25">
      <c r="A76" s="54" t="str">
        <f>IF(Срок_Кредита&lt;64,"",64)</f>
        <v/>
      </c>
      <c r="B76" s="55" t="str">
        <f t="shared" si="17"/>
        <v/>
      </c>
      <c r="C76" s="56" t="str">
        <f t="shared" si="21"/>
        <v/>
      </c>
      <c r="D76" s="56" t="str">
        <f t="shared" si="19"/>
        <v/>
      </c>
      <c r="E76" s="56" t="str">
        <f t="shared" si="3"/>
        <v/>
      </c>
      <c r="I76" s="47" t="str">
        <f t="shared" si="22"/>
        <v/>
      </c>
      <c r="J76" s="52" t="str">
        <f t="shared" si="23"/>
        <v/>
      </c>
      <c r="K76" s="52" t="str">
        <f t="shared" si="24"/>
        <v/>
      </c>
      <c r="L76" s="48" t="str">
        <f t="shared" si="25"/>
        <v/>
      </c>
      <c r="M76" s="48" t="str">
        <f t="shared" si="20"/>
        <v/>
      </c>
      <c r="N76" s="49" t="str">
        <f t="shared" si="26"/>
        <v/>
      </c>
      <c r="O76" s="53" t="str">
        <f t="shared" si="27"/>
        <v/>
      </c>
      <c r="P76" s="49" t="str">
        <f t="shared" si="18"/>
        <v/>
      </c>
      <c r="Q76" s="47" t="str">
        <f t="shared" si="28"/>
        <v/>
      </c>
      <c r="R76" s="47" t="str">
        <f t="shared" si="29"/>
        <v/>
      </c>
      <c r="S76" s="47" t="str">
        <f t="shared" si="30"/>
        <v/>
      </c>
      <c r="T76" s="47" t="str">
        <f t="shared" si="31"/>
        <v/>
      </c>
      <c r="U76" s="47" t="str">
        <f t="shared" si="32"/>
        <v/>
      </c>
      <c r="W76" s="49">
        <f t="shared" si="15"/>
        <v>0</v>
      </c>
      <c r="X76" s="49">
        <f t="shared" si="16"/>
        <v>0</v>
      </c>
    </row>
    <row r="77" spans="1:24" ht="9.9499999999999993" customHeight="1" x14ac:dyDescent="0.25">
      <c r="A77" s="54" t="str">
        <f>IF(Срок_Кредита&lt;65,"",65)</f>
        <v/>
      </c>
      <c r="B77" s="55" t="str">
        <f t="shared" si="17"/>
        <v/>
      </c>
      <c r="C77" s="56" t="str">
        <f t="shared" si="21"/>
        <v/>
      </c>
      <c r="D77" s="56" t="str">
        <f t="shared" si="19"/>
        <v/>
      </c>
      <c r="E77" s="56" t="str">
        <f t="shared" si="3"/>
        <v/>
      </c>
      <c r="I77" s="47" t="str">
        <f t="shared" si="22"/>
        <v/>
      </c>
      <c r="J77" s="52" t="str">
        <f t="shared" si="23"/>
        <v/>
      </c>
      <c r="K77" s="52" t="str">
        <f t="shared" si="24"/>
        <v/>
      </c>
      <c r="L77" s="48" t="str">
        <f t="shared" si="25"/>
        <v/>
      </c>
      <c r="M77" s="48" t="str">
        <f t="shared" si="20"/>
        <v/>
      </c>
      <c r="N77" s="49" t="str">
        <f t="shared" si="26"/>
        <v/>
      </c>
      <c r="O77" s="53" t="str">
        <f t="shared" si="27"/>
        <v/>
      </c>
      <c r="P77" s="49" t="str">
        <f t="shared" si="18"/>
        <v/>
      </c>
      <c r="Q77" s="47" t="str">
        <f t="shared" si="28"/>
        <v/>
      </c>
      <c r="R77" s="47" t="str">
        <f t="shared" si="29"/>
        <v/>
      </c>
      <c r="S77" s="47" t="str">
        <f t="shared" si="30"/>
        <v/>
      </c>
      <c r="T77" s="47" t="str">
        <f t="shared" si="31"/>
        <v/>
      </c>
      <c r="U77" s="47" t="str">
        <f t="shared" si="32"/>
        <v/>
      </c>
      <c r="W77" s="49">
        <f t="shared" si="15"/>
        <v>0</v>
      </c>
      <c r="X77" s="49">
        <f t="shared" si="16"/>
        <v>0</v>
      </c>
    </row>
    <row r="78" spans="1:24" ht="9.9499999999999993" customHeight="1" x14ac:dyDescent="0.25">
      <c r="A78" s="54" t="str">
        <f>IF(Срок_Кредита&lt;66,"",66)</f>
        <v/>
      </c>
      <c r="B78" s="55" t="str">
        <f t="shared" si="17"/>
        <v/>
      </c>
      <c r="C78" s="56" t="str">
        <f t="shared" si="21"/>
        <v/>
      </c>
      <c r="D78" s="56" t="str">
        <f t="shared" si="19"/>
        <v/>
      </c>
      <c r="E78" s="56" t="str">
        <f t="shared" ref="E78:E132" si="33">IF(A78="","",C78+D78)</f>
        <v/>
      </c>
      <c r="I78" s="47" t="str">
        <f t="shared" si="22"/>
        <v/>
      </c>
      <c r="J78" s="52" t="str">
        <f t="shared" si="23"/>
        <v/>
      </c>
      <c r="K78" s="52" t="str">
        <f t="shared" si="24"/>
        <v/>
      </c>
      <c r="L78" s="48" t="str">
        <f t="shared" si="25"/>
        <v/>
      </c>
      <c r="M78" s="48" t="str">
        <f t="shared" si="20"/>
        <v/>
      </c>
      <c r="N78" s="49" t="str">
        <f t="shared" si="26"/>
        <v/>
      </c>
      <c r="O78" s="53" t="str">
        <f t="shared" si="27"/>
        <v/>
      </c>
      <c r="P78" s="49" t="str">
        <f t="shared" si="18"/>
        <v/>
      </c>
      <c r="Q78" s="47" t="str">
        <f t="shared" si="28"/>
        <v/>
      </c>
      <c r="R78" s="47" t="str">
        <f t="shared" si="29"/>
        <v/>
      </c>
      <c r="S78" s="47" t="str">
        <f t="shared" si="30"/>
        <v/>
      </c>
      <c r="T78" s="47" t="str">
        <f t="shared" si="31"/>
        <v/>
      </c>
      <c r="U78" s="47" t="str">
        <f t="shared" si="32"/>
        <v/>
      </c>
      <c r="W78" s="49">
        <f t="shared" ref="W78:W132" si="34">IFERROR(J78*30,0)</f>
        <v>0</v>
      </c>
      <c r="X78" s="49">
        <f t="shared" ref="X78:X132" si="35">IFERROR(K78*30,0)</f>
        <v>0</v>
      </c>
    </row>
    <row r="79" spans="1:24" ht="9.9499999999999993" customHeight="1" x14ac:dyDescent="0.25">
      <c r="A79" s="54" t="str">
        <f>IF(Срок_Кредита&lt;67,"",67)</f>
        <v/>
      </c>
      <c r="B79" s="55" t="str">
        <f t="shared" ref="B79:B132" si="36">IF(A79="","",IFERROR((DATE(YEAR(B78),MONTH(B78)+1,DAY(B78))),""))</f>
        <v/>
      </c>
      <c r="C79" s="56" t="str">
        <f t="shared" si="21"/>
        <v/>
      </c>
      <c r="D79" s="56" t="str">
        <f t="shared" si="19"/>
        <v/>
      </c>
      <c r="E79" s="56" t="str">
        <f t="shared" si="33"/>
        <v/>
      </c>
      <c r="I79" s="47" t="str">
        <f t="shared" si="22"/>
        <v/>
      </c>
      <c r="J79" s="52" t="str">
        <f t="shared" si="23"/>
        <v/>
      </c>
      <c r="K79" s="52" t="str">
        <f t="shared" si="24"/>
        <v/>
      </c>
      <c r="L79" s="48" t="str">
        <f t="shared" si="25"/>
        <v/>
      </c>
      <c r="M79" s="48" t="str">
        <f t="shared" si="20"/>
        <v/>
      </c>
      <c r="N79" s="49" t="str">
        <f t="shared" si="26"/>
        <v/>
      </c>
      <c r="O79" s="53" t="str">
        <f t="shared" si="27"/>
        <v/>
      </c>
      <c r="P79" s="49" t="str">
        <f t="shared" ref="P79:P132" si="37">IF(A79="","",IF(N79=1,$N$5,IF(N79=2,$N$8,$N$5)))</f>
        <v/>
      </c>
      <c r="Q79" s="47" t="str">
        <f t="shared" si="28"/>
        <v/>
      </c>
      <c r="R79" s="47" t="str">
        <f t="shared" si="29"/>
        <v/>
      </c>
      <c r="S79" s="47" t="str">
        <f t="shared" si="30"/>
        <v/>
      </c>
      <c r="T79" s="47" t="str">
        <f t="shared" si="31"/>
        <v/>
      </c>
      <c r="U79" s="47" t="str">
        <f t="shared" si="32"/>
        <v/>
      </c>
      <c r="W79" s="49">
        <f t="shared" si="34"/>
        <v>0</v>
      </c>
      <c r="X79" s="49">
        <f t="shared" si="35"/>
        <v>0</v>
      </c>
    </row>
    <row r="80" spans="1:24" ht="9.9499999999999993" customHeight="1" x14ac:dyDescent="0.25">
      <c r="A80" s="54" t="str">
        <f>IF(Срок_Кредита&lt;68,"",68)</f>
        <v/>
      </c>
      <c r="B80" s="55" t="str">
        <f t="shared" si="36"/>
        <v/>
      </c>
      <c r="C80" s="56" t="str">
        <f t="shared" si="21"/>
        <v/>
      </c>
      <c r="D80" s="56" t="str">
        <f t="shared" si="19"/>
        <v/>
      </c>
      <c r="E80" s="56" t="str">
        <f t="shared" si="33"/>
        <v/>
      </c>
      <c r="I80" s="47" t="str">
        <f t="shared" si="22"/>
        <v/>
      </c>
      <c r="J80" s="52" t="str">
        <f t="shared" si="23"/>
        <v/>
      </c>
      <c r="K80" s="52" t="str">
        <f t="shared" si="24"/>
        <v/>
      </c>
      <c r="L80" s="48" t="str">
        <f t="shared" si="25"/>
        <v/>
      </c>
      <c r="M80" s="48" t="str">
        <f t="shared" si="20"/>
        <v/>
      </c>
      <c r="N80" s="49" t="str">
        <f t="shared" si="26"/>
        <v/>
      </c>
      <c r="O80" s="53" t="str">
        <f t="shared" si="27"/>
        <v/>
      </c>
      <c r="P80" s="49" t="str">
        <f t="shared" si="37"/>
        <v/>
      </c>
      <c r="Q80" s="47" t="str">
        <f t="shared" si="28"/>
        <v/>
      </c>
      <c r="R80" s="47" t="str">
        <f t="shared" si="29"/>
        <v/>
      </c>
      <c r="S80" s="47" t="str">
        <f t="shared" si="30"/>
        <v/>
      </c>
      <c r="T80" s="47" t="str">
        <f t="shared" si="31"/>
        <v/>
      </c>
      <c r="U80" s="47" t="str">
        <f t="shared" si="32"/>
        <v/>
      </c>
      <c r="W80" s="49">
        <f t="shared" si="34"/>
        <v>0</v>
      </c>
      <c r="X80" s="49">
        <f t="shared" si="35"/>
        <v>0</v>
      </c>
    </row>
    <row r="81" spans="1:24" ht="9.9499999999999993" customHeight="1" x14ac:dyDescent="0.25">
      <c r="A81" s="54" t="str">
        <f>IF(Срок_Кредита&lt;69,"",69)</f>
        <v/>
      </c>
      <c r="B81" s="55" t="str">
        <f t="shared" si="36"/>
        <v/>
      </c>
      <c r="C81" s="56" t="str">
        <f t="shared" si="21"/>
        <v/>
      </c>
      <c r="D81" s="56" t="str">
        <f t="shared" si="19"/>
        <v/>
      </c>
      <c r="E81" s="56" t="str">
        <f t="shared" si="33"/>
        <v/>
      </c>
      <c r="I81" s="47" t="str">
        <f t="shared" si="22"/>
        <v/>
      </c>
      <c r="J81" s="52" t="str">
        <f t="shared" si="23"/>
        <v/>
      </c>
      <c r="K81" s="52" t="str">
        <f t="shared" si="24"/>
        <v/>
      </c>
      <c r="L81" s="48" t="str">
        <f t="shared" si="25"/>
        <v/>
      </c>
      <c r="M81" s="48" t="str">
        <f t="shared" si="20"/>
        <v/>
      </c>
      <c r="N81" s="49" t="str">
        <f t="shared" si="26"/>
        <v/>
      </c>
      <c r="O81" s="53" t="str">
        <f t="shared" si="27"/>
        <v/>
      </c>
      <c r="P81" s="49" t="str">
        <f t="shared" si="37"/>
        <v/>
      </c>
      <c r="Q81" s="47" t="str">
        <f t="shared" si="28"/>
        <v/>
      </c>
      <c r="R81" s="47" t="str">
        <f t="shared" si="29"/>
        <v/>
      </c>
      <c r="S81" s="47" t="str">
        <f t="shared" si="30"/>
        <v/>
      </c>
      <c r="T81" s="47" t="str">
        <f t="shared" si="31"/>
        <v/>
      </c>
      <c r="U81" s="47" t="str">
        <f t="shared" si="32"/>
        <v/>
      </c>
      <c r="W81" s="49">
        <f t="shared" si="34"/>
        <v>0</v>
      </c>
      <c r="X81" s="49">
        <f t="shared" si="35"/>
        <v>0</v>
      </c>
    </row>
    <row r="82" spans="1:24" ht="9.9499999999999993" customHeight="1" x14ac:dyDescent="0.25">
      <c r="A82" s="54" t="str">
        <f>IF(Срок_Кредита&lt;70,"",70)</f>
        <v/>
      </c>
      <c r="B82" s="55" t="str">
        <f t="shared" si="36"/>
        <v/>
      </c>
      <c r="C82" s="56" t="str">
        <f t="shared" si="21"/>
        <v/>
      </c>
      <c r="D82" s="56" t="str">
        <f t="shared" si="19"/>
        <v/>
      </c>
      <c r="E82" s="56" t="str">
        <f t="shared" si="33"/>
        <v/>
      </c>
      <c r="I82" s="47" t="str">
        <f t="shared" si="22"/>
        <v/>
      </c>
      <c r="J82" s="52" t="str">
        <f t="shared" si="23"/>
        <v/>
      </c>
      <c r="K82" s="52" t="str">
        <f t="shared" si="24"/>
        <v/>
      </c>
      <c r="L82" s="48" t="str">
        <f t="shared" si="25"/>
        <v/>
      </c>
      <c r="M82" s="48" t="str">
        <f t="shared" si="20"/>
        <v/>
      </c>
      <c r="N82" s="49" t="str">
        <f t="shared" si="26"/>
        <v/>
      </c>
      <c r="O82" s="53" t="str">
        <f t="shared" si="27"/>
        <v/>
      </c>
      <c r="P82" s="49" t="str">
        <f t="shared" si="37"/>
        <v/>
      </c>
      <c r="Q82" s="47" t="str">
        <f t="shared" si="28"/>
        <v/>
      </c>
      <c r="R82" s="47" t="str">
        <f t="shared" si="29"/>
        <v/>
      </c>
      <c r="S82" s="47" t="str">
        <f t="shared" si="30"/>
        <v/>
      </c>
      <c r="T82" s="47" t="str">
        <f t="shared" si="31"/>
        <v/>
      </c>
      <c r="U82" s="47" t="str">
        <f t="shared" si="32"/>
        <v/>
      </c>
      <c r="W82" s="49">
        <f t="shared" si="34"/>
        <v>0</v>
      </c>
      <c r="X82" s="49">
        <f t="shared" si="35"/>
        <v>0</v>
      </c>
    </row>
    <row r="83" spans="1:24" ht="9.9499999999999993" customHeight="1" x14ac:dyDescent="0.25">
      <c r="A83" s="54" t="str">
        <f>IF(Срок_Кредита&lt;71,"",71)</f>
        <v/>
      </c>
      <c r="B83" s="55" t="str">
        <f t="shared" si="36"/>
        <v/>
      </c>
      <c r="C83" s="56" t="str">
        <f t="shared" si="21"/>
        <v/>
      </c>
      <c r="D83" s="56" t="str">
        <f t="shared" si="19"/>
        <v/>
      </c>
      <c r="E83" s="56" t="str">
        <f t="shared" si="33"/>
        <v/>
      </c>
      <c r="I83" s="47" t="str">
        <f t="shared" si="22"/>
        <v/>
      </c>
      <c r="J83" s="52" t="str">
        <f t="shared" si="23"/>
        <v/>
      </c>
      <c r="K83" s="52" t="str">
        <f t="shared" si="24"/>
        <v/>
      </c>
      <c r="L83" s="48" t="str">
        <f t="shared" si="25"/>
        <v/>
      </c>
      <c r="M83" s="48" t="str">
        <f t="shared" si="20"/>
        <v/>
      </c>
      <c r="N83" s="49" t="str">
        <f t="shared" si="26"/>
        <v/>
      </c>
      <c r="O83" s="53" t="str">
        <f t="shared" si="27"/>
        <v/>
      </c>
      <c r="P83" s="49" t="str">
        <f t="shared" si="37"/>
        <v/>
      </c>
      <c r="Q83" s="47" t="str">
        <f t="shared" si="28"/>
        <v/>
      </c>
      <c r="R83" s="47" t="str">
        <f t="shared" si="29"/>
        <v/>
      </c>
      <c r="S83" s="47" t="str">
        <f t="shared" si="30"/>
        <v/>
      </c>
      <c r="T83" s="47" t="str">
        <f t="shared" si="31"/>
        <v/>
      </c>
      <c r="U83" s="47" t="str">
        <f t="shared" si="32"/>
        <v/>
      </c>
      <c r="W83" s="49">
        <f t="shared" si="34"/>
        <v>0</v>
      </c>
      <c r="X83" s="49">
        <f t="shared" si="35"/>
        <v>0</v>
      </c>
    </row>
    <row r="84" spans="1:24" ht="9.9499999999999993" customHeight="1" x14ac:dyDescent="0.25">
      <c r="A84" s="54" t="str">
        <f>IF(Срок_Кредита&lt;72,"",72)</f>
        <v/>
      </c>
      <c r="B84" s="55" t="str">
        <f t="shared" si="36"/>
        <v/>
      </c>
      <c r="C84" s="56" t="str">
        <f t="shared" si="21"/>
        <v/>
      </c>
      <c r="D84" s="56" t="str">
        <f t="shared" si="19"/>
        <v/>
      </c>
      <c r="E84" s="56" t="str">
        <f t="shared" si="33"/>
        <v/>
      </c>
      <c r="I84" s="47" t="str">
        <f t="shared" si="22"/>
        <v/>
      </c>
      <c r="J84" s="52" t="str">
        <f t="shared" si="23"/>
        <v/>
      </c>
      <c r="K84" s="52" t="str">
        <f t="shared" si="24"/>
        <v/>
      </c>
      <c r="L84" s="48" t="str">
        <f t="shared" si="25"/>
        <v/>
      </c>
      <c r="M84" s="48" t="str">
        <f t="shared" si="20"/>
        <v/>
      </c>
      <c r="N84" s="49" t="str">
        <f t="shared" si="26"/>
        <v/>
      </c>
      <c r="O84" s="53" t="str">
        <f t="shared" si="27"/>
        <v/>
      </c>
      <c r="P84" s="49" t="str">
        <f t="shared" si="37"/>
        <v/>
      </c>
      <c r="Q84" s="47" t="str">
        <f t="shared" si="28"/>
        <v/>
      </c>
      <c r="R84" s="47" t="str">
        <f t="shared" si="29"/>
        <v/>
      </c>
      <c r="S84" s="47" t="str">
        <f t="shared" si="30"/>
        <v/>
      </c>
      <c r="T84" s="47" t="str">
        <f t="shared" si="31"/>
        <v/>
      </c>
      <c r="U84" s="47" t="str">
        <f t="shared" si="32"/>
        <v/>
      </c>
      <c r="W84" s="49">
        <f t="shared" si="34"/>
        <v>0</v>
      </c>
      <c r="X84" s="49">
        <f t="shared" si="35"/>
        <v>0</v>
      </c>
    </row>
    <row r="85" spans="1:24" ht="9.9499999999999993" customHeight="1" x14ac:dyDescent="0.25">
      <c r="A85" s="54" t="str">
        <f>IF(Срок_Кредита&lt;73,"",73)</f>
        <v/>
      </c>
      <c r="B85" s="55" t="str">
        <f t="shared" si="36"/>
        <v/>
      </c>
      <c r="C85" s="56" t="str">
        <f t="shared" si="21"/>
        <v/>
      </c>
      <c r="D85" s="56" t="str">
        <f t="shared" si="19"/>
        <v/>
      </c>
      <c r="E85" s="56" t="str">
        <f t="shared" si="33"/>
        <v/>
      </c>
      <c r="I85" s="47" t="str">
        <f t="shared" si="22"/>
        <v/>
      </c>
      <c r="J85" s="52" t="str">
        <f t="shared" si="23"/>
        <v/>
      </c>
      <c r="K85" s="52" t="str">
        <f t="shared" si="24"/>
        <v/>
      </c>
      <c r="L85" s="48" t="str">
        <f t="shared" si="25"/>
        <v/>
      </c>
      <c r="M85" s="48" t="str">
        <f t="shared" si="20"/>
        <v/>
      </c>
      <c r="N85" s="49" t="str">
        <f t="shared" si="26"/>
        <v/>
      </c>
      <c r="O85" s="53" t="str">
        <f t="shared" si="27"/>
        <v/>
      </c>
      <c r="P85" s="49" t="str">
        <f t="shared" si="37"/>
        <v/>
      </c>
      <c r="Q85" s="47" t="str">
        <f t="shared" si="28"/>
        <v/>
      </c>
      <c r="R85" s="47" t="str">
        <f t="shared" si="29"/>
        <v/>
      </c>
      <c r="S85" s="47" t="str">
        <f t="shared" si="30"/>
        <v/>
      </c>
      <c r="T85" s="47" t="str">
        <f t="shared" si="31"/>
        <v/>
      </c>
      <c r="U85" s="47" t="str">
        <f t="shared" si="32"/>
        <v/>
      </c>
      <c r="W85" s="49">
        <f t="shared" si="34"/>
        <v>0</v>
      </c>
      <c r="X85" s="49">
        <f t="shared" si="35"/>
        <v>0</v>
      </c>
    </row>
    <row r="86" spans="1:24" ht="9.9499999999999993" customHeight="1" x14ac:dyDescent="0.25">
      <c r="A86" s="54" t="str">
        <f>IF(Срок_Кредита&lt;74,"",74)</f>
        <v/>
      </c>
      <c r="B86" s="55" t="str">
        <f t="shared" si="36"/>
        <v/>
      </c>
      <c r="C86" s="56" t="str">
        <f t="shared" si="21"/>
        <v/>
      </c>
      <c r="D86" s="56" t="str">
        <f t="shared" si="19"/>
        <v/>
      </c>
      <c r="E86" s="56" t="str">
        <f t="shared" si="33"/>
        <v/>
      </c>
      <c r="I86" s="47" t="str">
        <f t="shared" si="22"/>
        <v/>
      </c>
      <c r="J86" s="52" t="str">
        <f t="shared" si="23"/>
        <v/>
      </c>
      <c r="K86" s="52" t="str">
        <f t="shared" si="24"/>
        <v/>
      </c>
      <c r="L86" s="48" t="str">
        <f t="shared" si="25"/>
        <v/>
      </c>
      <c r="M86" s="48" t="str">
        <f t="shared" si="20"/>
        <v/>
      </c>
      <c r="N86" s="49" t="str">
        <f t="shared" si="26"/>
        <v/>
      </c>
      <c r="O86" s="53" t="str">
        <f t="shared" si="27"/>
        <v/>
      </c>
      <c r="P86" s="49" t="str">
        <f t="shared" si="37"/>
        <v/>
      </c>
      <c r="Q86" s="47" t="str">
        <f t="shared" si="28"/>
        <v/>
      </c>
      <c r="R86" s="47" t="str">
        <f t="shared" si="29"/>
        <v/>
      </c>
      <c r="S86" s="47" t="str">
        <f t="shared" si="30"/>
        <v/>
      </c>
      <c r="T86" s="47" t="str">
        <f t="shared" si="31"/>
        <v/>
      </c>
      <c r="U86" s="47" t="str">
        <f t="shared" si="32"/>
        <v/>
      </c>
      <c r="W86" s="49">
        <f t="shared" si="34"/>
        <v>0</v>
      </c>
      <c r="X86" s="49">
        <f t="shared" si="35"/>
        <v>0</v>
      </c>
    </row>
    <row r="87" spans="1:24" ht="9.9499999999999993" customHeight="1" x14ac:dyDescent="0.25">
      <c r="A87" s="54" t="str">
        <f>IF(Срок_Кредита&lt;75,"",75)</f>
        <v/>
      </c>
      <c r="B87" s="55" t="str">
        <f t="shared" si="36"/>
        <v/>
      </c>
      <c r="C87" s="56" t="str">
        <f t="shared" si="21"/>
        <v/>
      </c>
      <c r="D87" s="56" t="str">
        <f t="shared" si="19"/>
        <v/>
      </c>
      <c r="E87" s="56" t="str">
        <f t="shared" si="33"/>
        <v/>
      </c>
      <c r="I87" s="47" t="str">
        <f t="shared" si="22"/>
        <v/>
      </c>
      <c r="J87" s="52" t="str">
        <f t="shared" si="23"/>
        <v/>
      </c>
      <c r="K87" s="52" t="str">
        <f t="shared" si="24"/>
        <v/>
      </c>
      <c r="L87" s="48" t="str">
        <f t="shared" si="25"/>
        <v/>
      </c>
      <c r="M87" s="48" t="str">
        <f t="shared" si="20"/>
        <v/>
      </c>
      <c r="N87" s="49" t="str">
        <f t="shared" si="26"/>
        <v/>
      </c>
      <c r="O87" s="53" t="str">
        <f t="shared" si="27"/>
        <v/>
      </c>
      <c r="P87" s="49" t="str">
        <f t="shared" si="37"/>
        <v/>
      </c>
      <c r="Q87" s="47" t="str">
        <f t="shared" si="28"/>
        <v/>
      </c>
      <c r="R87" s="47" t="str">
        <f t="shared" si="29"/>
        <v/>
      </c>
      <c r="S87" s="47" t="str">
        <f t="shared" si="30"/>
        <v/>
      </c>
      <c r="T87" s="47" t="str">
        <f t="shared" si="31"/>
        <v/>
      </c>
      <c r="U87" s="47" t="str">
        <f t="shared" si="32"/>
        <v/>
      </c>
      <c r="W87" s="49">
        <f t="shared" si="34"/>
        <v>0</v>
      </c>
      <c r="X87" s="49">
        <f t="shared" si="35"/>
        <v>0</v>
      </c>
    </row>
    <row r="88" spans="1:24" ht="9.9499999999999993" customHeight="1" x14ac:dyDescent="0.25">
      <c r="A88" s="54" t="str">
        <f>IF(Срок_Кредита&lt;76,"",76)</f>
        <v/>
      </c>
      <c r="B88" s="55" t="str">
        <f t="shared" si="36"/>
        <v/>
      </c>
      <c r="C88" s="56" t="str">
        <f t="shared" si="21"/>
        <v/>
      </c>
      <c r="D88" s="56" t="str">
        <f t="shared" si="19"/>
        <v/>
      </c>
      <c r="E88" s="56" t="str">
        <f t="shared" si="33"/>
        <v/>
      </c>
      <c r="I88" s="47" t="str">
        <f t="shared" si="22"/>
        <v/>
      </c>
      <c r="J88" s="52" t="str">
        <f t="shared" si="23"/>
        <v/>
      </c>
      <c r="K88" s="52" t="str">
        <f t="shared" si="24"/>
        <v/>
      </c>
      <c r="L88" s="48" t="str">
        <f t="shared" si="25"/>
        <v/>
      </c>
      <c r="M88" s="48" t="str">
        <f t="shared" si="20"/>
        <v/>
      </c>
      <c r="N88" s="49" t="str">
        <f t="shared" si="26"/>
        <v/>
      </c>
      <c r="O88" s="53" t="str">
        <f t="shared" si="27"/>
        <v/>
      </c>
      <c r="P88" s="49" t="str">
        <f t="shared" si="37"/>
        <v/>
      </c>
      <c r="Q88" s="47" t="str">
        <f t="shared" si="28"/>
        <v/>
      </c>
      <c r="R88" s="47" t="str">
        <f t="shared" si="29"/>
        <v/>
      </c>
      <c r="S88" s="47" t="str">
        <f t="shared" si="30"/>
        <v/>
      </c>
      <c r="T88" s="47" t="str">
        <f t="shared" si="31"/>
        <v/>
      </c>
      <c r="U88" s="47" t="str">
        <f t="shared" si="32"/>
        <v/>
      </c>
      <c r="W88" s="49">
        <f t="shared" si="34"/>
        <v>0</v>
      </c>
      <c r="X88" s="49">
        <f t="shared" si="35"/>
        <v>0</v>
      </c>
    </row>
    <row r="89" spans="1:24" ht="9.9499999999999993" customHeight="1" x14ac:dyDescent="0.25">
      <c r="A89" s="54" t="str">
        <f>IF(Срок_Кредита&lt;77,"",77)</f>
        <v/>
      </c>
      <c r="B89" s="55" t="str">
        <f t="shared" si="36"/>
        <v/>
      </c>
      <c r="C89" s="56" t="str">
        <f t="shared" si="21"/>
        <v/>
      </c>
      <c r="D89" s="56" t="str">
        <f t="shared" si="19"/>
        <v/>
      </c>
      <c r="E89" s="56" t="str">
        <f t="shared" si="33"/>
        <v/>
      </c>
      <c r="I89" s="47" t="str">
        <f t="shared" si="22"/>
        <v/>
      </c>
      <c r="J89" s="52" t="str">
        <f t="shared" si="23"/>
        <v/>
      </c>
      <c r="K89" s="52" t="str">
        <f t="shared" si="24"/>
        <v/>
      </c>
      <c r="L89" s="48" t="str">
        <f t="shared" si="25"/>
        <v/>
      </c>
      <c r="M89" s="48" t="str">
        <f t="shared" si="20"/>
        <v/>
      </c>
      <c r="N89" s="49" t="str">
        <f t="shared" si="26"/>
        <v/>
      </c>
      <c r="O89" s="53" t="str">
        <f t="shared" si="27"/>
        <v/>
      </c>
      <c r="P89" s="49" t="str">
        <f t="shared" si="37"/>
        <v/>
      </c>
      <c r="Q89" s="47" t="str">
        <f t="shared" si="28"/>
        <v/>
      </c>
      <c r="R89" s="47" t="str">
        <f t="shared" si="29"/>
        <v/>
      </c>
      <c r="S89" s="47" t="str">
        <f t="shared" si="30"/>
        <v/>
      </c>
      <c r="T89" s="47" t="str">
        <f t="shared" si="31"/>
        <v/>
      </c>
      <c r="U89" s="47" t="str">
        <f t="shared" si="32"/>
        <v/>
      </c>
      <c r="W89" s="49">
        <f t="shared" si="34"/>
        <v>0</v>
      </c>
      <c r="X89" s="49">
        <f t="shared" si="35"/>
        <v>0</v>
      </c>
    </row>
    <row r="90" spans="1:24" ht="9.9499999999999993" customHeight="1" x14ac:dyDescent="0.25">
      <c r="A90" s="54" t="str">
        <f>IF(Срок_Кредита&lt;78,"",78)</f>
        <v/>
      </c>
      <c r="B90" s="55" t="str">
        <f t="shared" si="36"/>
        <v/>
      </c>
      <c r="C90" s="56" t="str">
        <f t="shared" si="21"/>
        <v/>
      </c>
      <c r="D90" s="56" t="str">
        <f t="shared" si="19"/>
        <v/>
      </c>
      <c r="E90" s="56" t="str">
        <f t="shared" si="33"/>
        <v/>
      </c>
      <c r="I90" s="47" t="str">
        <f t="shared" si="22"/>
        <v/>
      </c>
      <c r="J90" s="52" t="str">
        <f t="shared" si="23"/>
        <v/>
      </c>
      <c r="K90" s="52" t="str">
        <f t="shared" si="24"/>
        <v/>
      </c>
      <c r="L90" s="48" t="str">
        <f t="shared" si="25"/>
        <v/>
      </c>
      <c r="M90" s="48" t="str">
        <f t="shared" si="20"/>
        <v/>
      </c>
      <c r="N90" s="49" t="str">
        <f t="shared" si="26"/>
        <v/>
      </c>
      <c r="O90" s="53" t="str">
        <f t="shared" si="27"/>
        <v/>
      </c>
      <c r="P90" s="49" t="str">
        <f t="shared" si="37"/>
        <v/>
      </c>
      <c r="Q90" s="47" t="str">
        <f t="shared" si="28"/>
        <v/>
      </c>
      <c r="R90" s="47" t="str">
        <f t="shared" si="29"/>
        <v/>
      </c>
      <c r="S90" s="47" t="str">
        <f t="shared" si="30"/>
        <v/>
      </c>
      <c r="T90" s="47" t="str">
        <f t="shared" si="31"/>
        <v/>
      </c>
      <c r="U90" s="47" t="str">
        <f t="shared" si="32"/>
        <v/>
      </c>
      <c r="W90" s="49">
        <f t="shared" si="34"/>
        <v>0</v>
      </c>
      <c r="X90" s="49">
        <f t="shared" si="35"/>
        <v>0</v>
      </c>
    </row>
    <row r="91" spans="1:24" ht="9.9499999999999993" customHeight="1" x14ac:dyDescent="0.25">
      <c r="A91" s="54" t="str">
        <f>IF(Срок_Кредита&lt;79,"",79)</f>
        <v/>
      </c>
      <c r="B91" s="55" t="str">
        <f t="shared" si="36"/>
        <v/>
      </c>
      <c r="C91" s="56" t="str">
        <f t="shared" si="21"/>
        <v/>
      </c>
      <c r="D91" s="56" t="str">
        <f t="shared" si="19"/>
        <v/>
      </c>
      <c r="E91" s="56" t="str">
        <f t="shared" si="33"/>
        <v/>
      </c>
      <c r="I91" s="47" t="str">
        <f t="shared" si="22"/>
        <v/>
      </c>
      <c r="J91" s="52" t="str">
        <f t="shared" si="23"/>
        <v/>
      </c>
      <c r="K91" s="52" t="str">
        <f t="shared" si="24"/>
        <v/>
      </c>
      <c r="L91" s="48" t="str">
        <f t="shared" si="25"/>
        <v/>
      </c>
      <c r="M91" s="48" t="str">
        <f t="shared" si="20"/>
        <v/>
      </c>
      <c r="N91" s="49" t="str">
        <f t="shared" si="26"/>
        <v/>
      </c>
      <c r="O91" s="53" t="str">
        <f t="shared" si="27"/>
        <v/>
      </c>
      <c r="P91" s="49" t="str">
        <f t="shared" si="37"/>
        <v/>
      </c>
      <c r="Q91" s="47" t="str">
        <f t="shared" si="28"/>
        <v/>
      </c>
      <c r="R91" s="47" t="str">
        <f t="shared" si="29"/>
        <v/>
      </c>
      <c r="S91" s="47" t="str">
        <f t="shared" si="30"/>
        <v/>
      </c>
      <c r="T91" s="47" t="str">
        <f t="shared" si="31"/>
        <v/>
      </c>
      <c r="U91" s="47" t="str">
        <f t="shared" si="32"/>
        <v/>
      </c>
      <c r="W91" s="49">
        <f t="shared" si="34"/>
        <v>0</v>
      </c>
      <c r="X91" s="49">
        <f t="shared" si="35"/>
        <v>0</v>
      </c>
    </row>
    <row r="92" spans="1:24" ht="9.9499999999999993" customHeight="1" x14ac:dyDescent="0.25">
      <c r="A92" s="54" t="str">
        <f>IF(Срок_Кредита&lt;80,"",80)</f>
        <v/>
      </c>
      <c r="B92" s="55" t="str">
        <f t="shared" si="36"/>
        <v/>
      </c>
      <c r="C92" s="56" t="str">
        <f t="shared" si="21"/>
        <v/>
      </c>
      <c r="D92" s="56" t="str">
        <f t="shared" si="19"/>
        <v/>
      </c>
      <c r="E92" s="56" t="str">
        <f t="shared" si="33"/>
        <v/>
      </c>
      <c r="I92" s="47" t="str">
        <f t="shared" si="22"/>
        <v/>
      </c>
      <c r="J92" s="52" t="str">
        <f t="shared" si="23"/>
        <v/>
      </c>
      <c r="K92" s="52" t="str">
        <f t="shared" si="24"/>
        <v/>
      </c>
      <c r="L92" s="48" t="str">
        <f t="shared" si="25"/>
        <v/>
      </c>
      <c r="M92" s="48" t="str">
        <f t="shared" si="20"/>
        <v/>
      </c>
      <c r="N92" s="49" t="str">
        <f t="shared" si="26"/>
        <v/>
      </c>
      <c r="O92" s="53" t="str">
        <f t="shared" si="27"/>
        <v/>
      </c>
      <c r="P92" s="49" t="str">
        <f t="shared" si="37"/>
        <v/>
      </c>
      <c r="Q92" s="47" t="str">
        <f t="shared" si="28"/>
        <v/>
      </c>
      <c r="R92" s="47" t="str">
        <f t="shared" si="29"/>
        <v/>
      </c>
      <c r="S92" s="47" t="str">
        <f t="shared" si="30"/>
        <v/>
      </c>
      <c r="T92" s="47" t="str">
        <f t="shared" si="31"/>
        <v/>
      </c>
      <c r="U92" s="47" t="str">
        <f t="shared" si="32"/>
        <v/>
      </c>
      <c r="W92" s="49">
        <f t="shared" si="34"/>
        <v>0</v>
      </c>
      <c r="X92" s="49">
        <f t="shared" si="35"/>
        <v>0</v>
      </c>
    </row>
    <row r="93" spans="1:24" ht="9.9499999999999993" customHeight="1" x14ac:dyDescent="0.25">
      <c r="A93" s="54" t="str">
        <f>IF(Срок_Кредита&lt;81,"",81)</f>
        <v/>
      </c>
      <c r="B93" s="55" t="str">
        <f t="shared" si="36"/>
        <v/>
      </c>
      <c r="C93" s="56" t="str">
        <f t="shared" si="21"/>
        <v/>
      </c>
      <c r="D93" s="56" t="str">
        <f t="shared" si="19"/>
        <v/>
      </c>
      <c r="E93" s="56" t="str">
        <f t="shared" si="33"/>
        <v/>
      </c>
      <c r="I93" s="47" t="str">
        <f t="shared" si="22"/>
        <v/>
      </c>
      <c r="J93" s="52" t="str">
        <f t="shared" si="23"/>
        <v/>
      </c>
      <c r="K93" s="52" t="str">
        <f t="shared" si="24"/>
        <v/>
      </c>
      <c r="L93" s="48" t="str">
        <f t="shared" si="25"/>
        <v/>
      </c>
      <c r="M93" s="48" t="str">
        <f t="shared" si="20"/>
        <v/>
      </c>
      <c r="N93" s="49" t="str">
        <f t="shared" si="26"/>
        <v/>
      </c>
      <c r="O93" s="53" t="str">
        <f t="shared" si="27"/>
        <v/>
      </c>
      <c r="P93" s="49" t="str">
        <f t="shared" si="37"/>
        <v/>
      </c>
      <c r="Q93" s="47" t="str">
        <f t="shared" si="28"/>
        <v/>
      </c>
      <c r="R93" s="47" t="str">
        <f t="shared" si="29"/>
        <v/>
      </c>
      <c r="S93" s="47" t="str">
        <f t="shared" si="30"/>
        <v/>
      </c>
      <c r="T93" s="47" t="str">
        <f t="shared" si="31"/>
        <v/>
      </c>
      <c r="U93" s="47" t="str">
        <f t="shared" si="32"/>
        <v/>
      </c>
      <c r="W93" s="49">
        <f t="shared" si="34"/>
        <v>0</v>
      </c>
      <c r="X93" s="49">
        <f t="shared" si="35"/>
        <v>0</v>
      </c>
    </row>
    <row r="94" spans="1:24" ht="9.9499999999999993" customHeight="1" x14ac:dyDescent="0.25">
      <c r="A94" s="54" t="str">
        <f>IF(Срок_Кредита&lt;82,"",82)</f>
        <v/>
      </c>
      <c r="B94" s="55" t="str">
        <f t="shared" si="36"/>
        <v/>
      </c>
      <c r="C94" s="56" t="str">
        <f t="shared" si="21"/>
        <v/>
      </c>
      <c r="D94" s="56" t="str">
        <f t="shared" si="19"/>
        <v/>
      </c>
      <c r="E94" s="56" t="str">
        <f t="shared" si="33"/>
        <v/>
      </c>
      <c r="I94" s="47" t="str">
        <f t="shared" si="22"/>
        <v/>
      </c>
      <c r="J94" s="52" t="str">
        <f t="shared" si="23"/>
        <v/>
      </c>
      <c r="K94" s="52" t="str">
        <f t="shared" si="24"/>
        <v/>
      </c>
      <c r="L94" s="48" t="str">
        <f t="shared" si="25"/>
        <v/>
      </c>
      <c r="M94" s="48" t="str">
        <f t="shared" si="20"/>
        <v/>
      </c>
      <c r="N94" s="49" t="str">
        <f t="shared" si="26"/>
        <v/>
      </c>
      <c r="O94" s="53" t="str">
        <f t="shared" si="27"/>
        <v/>
      </c>
      <c r="P94" s="49" t="str">
        <f t="shared" si="37"/>
        <v/>
      </c>
      <c r="Q94" s="47" t="str">
        <f t="shared" si="28"/>
        <v/>
      </c>
      <c r="R94" s="47" t="str">
        <f t="shared" si="29"/>
        <v/>
      </c>
      <c r="S94" s="47" t="str">
        <f t="shared" si="30"/>
        <v/>
      </c>
      <c r="T94" s="47" t="str">
        <f t="shared" si="31"/>
        <v/>
      </c>
      <c r="U94" s="47" t="str">
        <f t="shared" si="32"/>
        <v/>
      </c>
      <c r="W94" s="49">
        <f t="shared" si="34"/>
        <v>0</v>
      </c>
      <c r="X94" s="49">
        <f t="shared" si="35"/>
        <v>0</v>
      </c>
    </row>
    <row r="95" spans="1:24" ht="9.9499999999999993" customHeight="1" x14ac:dyDescent="0.25">
      <c r="A95" s="54" t="str">
        <f>IF(Срок_Кредита&lt;83,"",83)</f>
        <v/>
      </c>
      <c r="B95" s="55" t="str">
        <f t="shared" si="36"/>
        <v/>
      </c>
      <c r="C95" s="56" t="str">
        <f t="shared" si="21"/>
        <v/>
      </c>
      <c r="D95" s="56" t="str">
        <f t="shared" si="19"/>
        <v/>
      </c>
      <c r="E95" s="56" t="str">
        <f t="shared" si="33"/>
        <v/>
      </c>
      <c r="I95" s="47" t="str">
        <f t="shared" si="22"/>
        <v/>
      </c>
      <c r="J95" s="52" t="str">
        <f t="shared" si="23"/>
        <v/>
      </c>
      <c r="K95" s="52" t="str">
        <f t="shared" si="24"/>
        <v/>
      </c>
      <c r="L95" s="48" t="str">
        <f t="shared" si="25"/>
        <v/>
      </c>
      <c r="M95" s="48" t="str">
        <f t="shared" si="20"/>
        <v/>
      </c>
      <c r="N95" s="49" t="str">
        <f t="shared" si="26"/>
        <v/>
      </c>
      <c r="O95" s="53" t="str">
        <f t="shared" si="27"/>
        <v/>
      </c>
      <c r="P95" s="49" t="str">
        <f t="shared" si="37"/>
        <v/>
      </c>
      <c r="Q95" s="47" t="str">
        <f t="shared" si="28"/>
        <v/>
      </c>
      <c r="R95" s="47" t="str">
        <f t="shared" si="29"/>
        <v/>
      </c>
      <c r="S95" s="47" t="str">
        <f t="shared" si="30"/>
        <v/>
      </c>
      <c r="T95" s="47" t="str">
        <f t="shared" si="31"/>
        <v/>
      </c>
      <c r="U95" s="47" t="str">
        <f t="shared" si="32"/>
        <v/>
      </c>
      <c r="W95" s="49">
        <f t="shared" si="34"/>
        <v>0</v>
      </c>
      <c r="X95" s="49">
        <f t="shared" si="35"/>
        <v>0</v>
      </c>
    </row>
    <row r="96" spans="1:24" ht="9.9499999999999993" customHeight="1" x14ac:dyDescent="0.25">
      <c r="A96" s="54" t="str">
        <f>IF(Срок_Кредита&lt;84,"",84)</f>
        <v/>
      </c>
      <c r="B96" s="55" t="str">
        <f t="shared" si="36"/>
        <v/>
      </c>
      <c r="C96" s="56" t="str">
        <f t="shared" si="21"/>
        <v/>
      </c>
      <c r="D96" s="56" t="str">
        <f t="shared" si="19"/>
        <v/>
      </c>
      <c r="E96" s="56" t="str">
        <f t="shared" si="33"/>
        <v/>
      </c>
      <c r="I96" s="47" t="str">
        <f t="shared" si="22"/>
        <v/>
      </c>
      <c r="J96" s="52" t="str">
        <f t="shared" si="23"/>
        <v/>
      </c>
      <c r="K96" s="52" t="str">
        <f t="shared" si="24"/>
        <v/>
      </c>
      <c r="L96" s="48" t="str">
        <f t="shared" si="25"/>
        <v/>
      </c>
      <c r="M96" s="48" t="str">
        <f t="shared" si="20"/>
        <v/>
      </c>
      <c r="N96" s="49" t="str">
        <f t="shared" si="26"/>
        <v/>
      </c>
      <c r="O96" s="53" t="str">
        <f t="shared" si="27"/>
        <v/>
      </c>
      <c r="P96" s="49" t="str">
        <f t="shared" si="37"/>
        <v/>
      </c>
      <c r="Q96" s="47" t="str">
        <f t="shared" si="28"/>
        <v/>
      </c>
      <c r="R96" s="47" t="str">
        <f t="shared" si="29"/>
        <v/>
      </c>
      <c r="S96" s="47" t="str">
        <f t="shared" si="30"/>
        <v/>
      </c>
      <c r="T96" s="47" t="str">
        <f t="shared" si="31"/>
        <v/>
      </c>
      <c r="U96" s="47" t="str">
        <f t="shared" si="32"/>
        <v/>
      </c>
      <c r="W96" s="49">
        <f t="shared" si="34"/>
        <v>0</v>
      </c>
      <c r="X96" s="49">
        <f t="shared" si="35"/>
        <v>0</v>
      </c>
    </row>
    <row r="97" spans="1:24" ht="9.9499999999999993" customHeight="1" x14ac:dyDescent="0.25">
      <c r="A97" s="54" t="str">
        <f>IF(Срок_Кредита&lt;85,"",85)</f>
        <v/>
      </c>
      <c r="B97" s="55" t="str">
        <f t="shared" si="36"/>
        <v/>
      </c>
      <c r="C97" s="56" t="str">
        <f t="shared" si="21"/>
        <v/>
      </c>
      <c r="D97" s="56" t="str">
        <f t="shared" si="19"/>
        <v/>
      </c>
      <c r="E97" s="56" t="str">
        <f t="shared" si="33"/>
        <v/>
      </c>
      <c r="I97" s="47" t="str">
        <f t="shared" si="22"/>
        <v/>
      </c>
      <c r="J97" s="52" t="str">
        <f t="shared" si="23"/>
        <v/>
      </c>
      <c r="K97" s="52" t="str">
        <f t="shared" si="24"/>
        <v/>
      </c>
      <c r="L97" s="48" t="str">
        <f t="shared" si="25"/>
        <v/>
      </c>
      <c r="M97" s="48" t="str">
        <f t="shared" si="20"/>
        <v/>
      </c>
      <c r="N97" s="49" t="str">
        <f t="shared" si="26"/>
        <v/>
      </c>
      <c r="O97" s="53" t="str">
        <f t="shared" si="27"/>
        <v/>
      </c>
      <c r="P97" s="49" t="str">
        <f t="shared" si="37"/>
        <v/>
      </c>
      <c r="Q97" s="47" t="str">
        <f t="shared" si="28"/>
        <v/>
      </c>
      <c r="R97" s="47" t="str">
        <f t="shared" si="29"/>
        <v/>
      </c>
      <c r="S97" s="47" t="str">
        <f t="shared" si="30"/>
        <v/>
      </c>
      <c r="T97" s="47" t="str">
        <f t="shared" si="31"/>
        <v/>
      </c>
      <c r="U97" s="47" t="str">
        <f t="shared" si="32"/>
        <v/>
      </c>
      <c r="W97" s="49">
        <f t="shared" si="34"/>
        <v>0</v>
      </c>
      <c r="X97" s="49">
        <f t="shared" si="35"/>
        <v>0</v>
      </c>
    </row>
    <row r="98" spans="1:24" ht="9.9499999999999993" customHeight="1" x14ac:dyDescent="0.25">
      <c r="A98" s="54" t="str">
        <f>IF(Срок_Кредита&lt;86,"",86)</f>
        <v/>
      </c>
      <c r="B98" s="55" t="str">
        <f t="shared" si="36"/>
        <v/>
      </c>
      <c r="C98" s="56" t="str">
        <f t="shared" si="21"/>
        <v/>
      </c>
      <c r="D98" s="56" t="str">
        <f t="shared" si="19"/>
        <v/>
      </c>
      <c r="E98" s="56" t="str">
        <f t="shared" si="33"/>
        <v/>
      </c>
      <c r="I98" s="47" t="str">
        <f t="shared" si="22"/>
        <v/>
      </c>
      <c r="J98" s="52" t="str">
        <f t="shared" si="23"/>
        <v/>
      </c>
      <c r="K98" s="52" t="str">
        <f t="shared" si="24"/>
        <v/>
      </c>
      <c r="L98" s="48" t="str">
        <f t="shared" si="25"/>
        <v/>
      </c>
      <c r="M98" s="48" t="str">
        <f t="shared" si="20"/>
        <v/>
      </c>
      <c r="N98" s="49" t="str">
        <f t="shared" si="26"/>
        <v/>
      </c>
      <c r="O98" s="53" t="str">
        <f t="shared" si="27"/>
        <v/>
      </c>
      <c r="P98" s="49" t="str">
        <f t="shared" si="37"/>
        <v/>
      </c>
      <c r="Q98" s="47" t="str">
        <f t="shared" si="28"/>
        <v/>
      </c>
      <c r="R98" s="47" t="str">
        <f t="shared" si="29"/>
        <v/>
      </c>
      <c r="S98" s="47" t="str">
        <f t="shared" si="30"/>
        <v/>
      </c>
      <c r="T98" s="47" t="str">
        <f t="shared" si="31"/>
        <v/>
      </c>
      <c r="U98" s="47" t="str">
        <f t="shared" si="32"/>
        <v/>
      </c>
      <c r="W98" s="49">
        <f t="shared" si="34"/>
        <v>0</v>
      </c>
      <c r="X98" s="49">
        <f t="shared" si="35"/>
        <v>0</v>
      </c>
    </row>
    <row r="99" spans="1:24" ht="9.9499999999999993" customHeight="1" x14ac:dyDescent="0.25">
      <c r="A99" s="54" t="str">
        <f>IF(Срок_Кредита&lt;87,"",87)</f>
        <v/>
      </c>
      <c r="B99" s="55" t="str">
        <f t="shared" si="36"/>
        <v/>
      </c>
      <c r="C99" s="56" t="str">
        <f t="shared" si="21"/>
        <v/>
      </c>
      <c r="D99" s="56" t="str">
        <f t="shared" si="19"/>
        <v/>
      </c>
      <c r="E99" s="56" t="str">
        <f t="shared" si="33"/>
        <v/>
      </c>
      <c r="I99" s="47" t="str">
        <f t="shared" si="22"/>
        <v/>
      </c>
      <c r="J99" s="52" t="str">
        <f t="shared" si="23"/>
        <v/>
      </c>
      <c r="K99" s="52" t="str">
        <f t="shared" si="24"/>
        <v/>
      </c>
      <c r="L99" s="48" t="str">
        <f t="shared" si="25"/>
        <v/>
      </c>
      <c r="M99" s="48" t="str">
        <f t="shared" si="20"/>
        <v/>
      </c>
      <c r="N99" s="49" t="str">
        <f t="shared" si="26"/>
        <v/>
      </c>
      <c r="O99" s="53" t="str">
        <f t="shared" si="27"/>
        <v/>
      </c>
      <c r="P99" s="49" t="str">
        <f t="shared" si="37"/>
        <v/>
      </c>
      <c r="Q99" s="47" t="str">
        <f t="shared" si="28"/>
        <v/>
      </c>
      <c r="R99" s="47" t="str">
        <f t="shared" si="29"/>
        <v/>
      </c>
      <c r="S99" s="47" t="str">
        <f t="shared" si="30"/>
        <v/>
      </c>
      <c r="T99" s="47" t="str">
        <f t="shared" si="31"/>
        <v/>
      </c>
      <c r="U99" s="47" t="str">
        <f t="shared" si="32"/>
        <v/>
      </c>
      <c r="W99" s="49">
        <f t="shared" si="34"/>
        <v>0</v>
      </c>
      <c r="X99" s="49">
        <f t="shared" si="35"/>
        <v>0</v>
      </c>
    </row>
    <row r="100" spans="1:24" ht="9.9499999999999993" customHeight="1" x14ac:dyDescent="0.25">
      <c r="A100" s="54" t="str">
        <f>IF(Срок_Кредита&lt;88,"",88)</f>
        <v/>
      </c>
      <c r="B100" s="55" t="str">
        <f t="shared" si="36"/>
        <v/>
      </c>
      <c r="C100" s="56" t="str">
        <f t="shared" si="21"/>
        <v/>
      </c>
      <c r="D100" s="56" t="str">
        <f t="shared" si="19"/>
        <v/>
      </c>
      <c r="E100" s="56" t="str">
        <f t="shared" si="33"/>
        <v/>
      </c>
      <c r="I100" s="47" t="str">
        <f t="shared" si="22"/>
        <v/>
      </c>
      <c r="J100" s="52" t="str">
        <f t="shared" si="23"/>
        <v/>
      </c>
      <c r="K100" s="52" t="str">
        <f t="shared" si="24"/>
        <v/>
      </c>
      <c r="L100" s="48" t="str">
        <f t="shared" si="25"/>
        <v/>
      </c>
      <c r="M100" s="48" t="str">
        <f t="shared" si="20"/>
        <v/>
      </c>
      <c r="N100" s="49" t="str">
        <f t="shared" si="26"/>
        <v/>
      </c>
      <c r="O100" s="53" t="str">
        <f t="shared" si="27"/>
        <v/>
      </c>
      <c r="P100" s="49" t="str">
        <f t="shared" si="37"/>
        <v/>
      </c>
      <c r="Q100" s="47" t="str">
        <f t="shared" si="28"/>
        <v/>
      </c>
      <c r="R100" s="47" t="str">
        <f t="shared" si="29"/>
        <v/>
      </c>
      <c r="S100" s="47" t="str">
        <f t="shared" si="30"/>
        <v/>
      </c>
      <c r="T100" s="47" t="str">
        <f t="shared" si="31"/>
        <v/>
      </c>
      <c r="U100" s="47" t="str">
        <f t="shared" si="32"/>
        <v/>
      </c>
      <c r="W100" s="49">
        <f t="shared" si="34"/>
        <v>0</v>
      </c>
      <c r="X100" s="49">
        <f t="shared" si="35"/>
        <v>0</v>
      </c>
    </row>
    <row r="101" spans="1:24" ht="9.9499999999999993" customHeight="1" x14ac:dyDescent="0.25">
      <c r="A101" s="54" t="str">
        <f>IF(Срок_Кредита&lt;89,"",89)</f>
        <v/>
      </c>
      <c r="B101" s="55" t="str">
        <f t="shared" si="36"/>
        <v/>
      </c>
      <c r="C101" s="56" t="str">
        <f t="shared" si="21"/>
        <v/>
      </c>
      <c r="D101" s="56" t="str">
        <f t="shared" si="19"/>
        <v/>
      </c>
      <c r="E101" s="56" t="str">
        <f t="shared" si="33"/>
        <v/>
      </c>
      <c r="I101" s="47" t="str">
        <f t="shared" si="22"/>
        <v/>
      </c>
      <c r="J101" s="52" t="str">
        <f t="shared" si="23"/>
        <v/>
      </c>
      <c r="K101" s="52" t="str">
        <f t="shared" si="24"/>
        <v/>
      </c>
      <c r="L101" s="48" t="str">
        <f t="shared" si="25"/>
        <v/>
      </c>
      <c r="M101" s="48" t="str">
        <f t="shared" si="20"/>
        <v/>
      </c>
      <c r="N101" s="49" t="str">
        <f t="shared" si="26"/>
        <v/>
      </c>
      <c r="O101" s="53" t="str">
        <f t="shared" si="27"/>
        <v/>
      </c>
      <c r="P101" s="49" t="str">
        <f t="shared" si="37"/>
        <v/>
      </c>
      <c r="Q101" s="47" t="str">
        <f t="shared" si="28"/>
        <v/>
      </c>
      <c r="R101" s="47" t="str">
        <f t="shared" si="29"/>
        <v/>
      </c>
      <c r="S101" s="47" t="str">
        <f t="shared" si="30"/>
        <v/>
      </c>
      <c r="T101" s="47" t="str">
        <f t="shared" si="31"/>
        <v/>
      </c>
      <c r="U101" s="47" t="str">
        <f t="shared" si="32"/>
        <v/>
      </c>
      <c r="W101" s="49">
        <f t="shared" si="34"/>
        <v>0</v>
      </c>
      <c r="X101" s="49">
        <f t="shared" si="35"/>
        <v>0</v>
      </c>
    </row>
    <row r="102" spans="1:24" ht="9.9499999999999993" customHeight="1" x14ac:dyDescent="0.25">
      <c r="A102" s="54" t="str">
        <f>IF(Срок_Кредита&lt;90,"",90)</f>
        <v/>
      </c>
      <c r="B102" s="55" t="str">
        <f t="shared" si="36"/>
        <v/>
      </c>
      <c r="C102" s="56" t="str">
        <f t="shared" si="21"/>
        <v/>
      </c>
      <c r="D102" s="56" t="str">
        <f t="shared" si="19"/>
        <v/>
      </c>
      <c r="E102" s="56" t="str">
        <f t="shared" si="33"/>
        <v/>
      </c>
      <c r="I102" s="47" t="str">
        <f t="shared" si="22"/>
        <v/>
      </c>
      <c r="J102" s="52" t="str">
        <f t="shared" si="23"/>
        <v/>
      </c>
      <c r="K102" s="52" t="str">
        <f t="shared" si="24"/>
        <v/>
      </c>
      <c r="L102" s="48" t="str">
        <f t="shared" si="25"/>
        <v/>
      </c>
      <c r="M102" s="48" t="str">
        <f t="shared" si="20"/>
        <v/>
      </c>
      <c r="N102" s="49" t="str">
        <f t="shared" si="26"/>
        <v/>
      </c>
      <c r="O102" s="53" t="str">
        <f t="shared" si="27"/>
        <v/>
      </c>
      <c r="P102" s="49" t="str">
        <f t="shared" si="37"/>
        <v/>
      </c>
      <c r="Q102" s="47" t="str">
        <f t="shared" si="28"/>
        <v/>
      </c>
      <c r="R102" s="47" t="str">
        <f t="shared" si="29"/>
        <v/>
      </c>
      <c r="S102" s="47" t="str">
        <f t="shared" si="30"/>
        <v/>
      </c>
      <c r="T102" s="47" t="str">
        <f t="shared" si="31"/>
        <v/>
      </c>
      <c r="U102" s="47" t="str">
        <f t="shared" si="32"/>
        <v/>
      </c>
      <c r="W102" s="49">
        <f t="shared" si="34"/>
        <v>0</v>
      </c>
      <c r="X102" s="49">
        <f t="shared" si="35"/>
        <v>0</v>
      </c>
    </row>
    <row r="103" spans="1:24" ht="9.9499999999999993" customHeight="1" x14ac:dyDescent="0.25">
      <c r="A103" s="54" t="str">
        <f>IF(Срок_Кредита&lt;91,"",91)</f>
        <v/>
      </c>
      <c r="B103" s="55" t="str">
        <f t="shared" si="36"/>
        <v/>
      </c>
      <c r="C103" s="56" t="str">
        <f t="shared" si="21"/>
        <v/>
      </c>
      <c r="D103" s="56" t="str">
        <f t="shared" si="19"/>
        <v/>
      </c>
      <c r="E103" s="56" t="str">
        <f t="shared" si="33"/>
        <v/>
      </c>
      <c r="I103" s="47" t="str">
        <f t="shared" si="22"/>
        <v/>
      </c>
      <c r="J103" s="52" t="str">
        <f t="shared" si="23"/>
        <v/>
      </c>
      <c r="K103" s="52" t="str">
        <f t="shared" si="24"/>
        <v/>
      </c>
      <c r="L103" s="48" t="str">
        <f t="shared" si="25"/>
        <v/>
      </c>
      <c r="M103" s="48" t="str">
        <f t="shared" si="20"/>
        <v/>
      </c>
      <c r="N103" s="49" t="str">
        <f t="shared" si="26"/>
        <v/>
      </c>
      <c r="O103" s="53" t="str">
        <f t="shared" si="27"/>
        <v/>
      </c>
      <c r="P103" s="49" t="str">
        <f t="shared" si="37"/>
        <v/>
      </c>
      <c r="Q103" s="47" t="str">
        <f t="shared" si="28"/>
        <v/>
      </c>
      <c r="R103" s="47" t="str">
        <f t="shared" si="29"/>
        <v/>
      </c>
      <c r="S103" s="47" t="str">
        <f t="shared" si="30"/>
        <v/>
      </c>
      <c r="T103" s="47" t="str">
        <f t="shared" si="31"/>
        <v/>
      </c>
      <c r="U103" s="47" t="str">
        <f t="shared" si="32"/>
        <v/>
      </c>
      <c r="W103" s="49">
        <f t="shared" si="34"/>
        <v>0</v>
      </c>
      <c r="X103" s="49">
        <f t="shared" si="35"/>
        <v>0</v>
      </c>
    </row>
    <row r="104" spans="1:24" ht="9.9499999999999993" customHeight="1" x14ac:dyDescent="0.25">
      <c r="A104" s="54" t="str">
        <f>IF(Срок_Кредита&lt;92,"",92)</f>
        <v/>
      </c>
      <c r="B104" s="55" t="str">
        <f t="shared" si="36"/>
        <v/>
      </c>
      <c r="C104" s="56" t="str">
        <f t="shared" si="21"/>
        <v/>
      </c>
      <c r="D104" s="56" t="str">
        <f t="shared" si="19"/>
        <v/>
      </c>
      <c r="E104" s="56" t="str">
        <f t="shared" si="33"/>
        <v/>
      </c>
      <c r="I104" s="47" t="str">
        <f t="shared" si="22"/>
        <v/>
      </c>
      <c r="J104" s="52" t="str">
        <f t="shared" si="23"/>
        <v/>
      </c>
      <c r="K104" s="52" t="str">
        <f t="shared" si="24"/>
        <v/>
      </c>
      <c r="L104" s="48" t="str">
        <f t="shared" si="25"/>
        <v/>
      </c>
      <c r="M104" s="48" t="str">
        <f t="shared" si="20"/>
        <v/>
      </c>
      <c r="N104" s="49" t="str">
        <f t="shared" si="26"/>
        <v/>
      </c>
      <c r="O104" s="53" t="str">
        <f t="shared" si="27"/>
        <v/>
      </c>
      <c r="P104" s="49" t="str">
        <f t="shared" si="37"/>
        <v/>
      </c>
      <c r="Q104" s="47" t="str">
        <f t="shared" si="28"/>
        <v/>
      </c>
      <c r="R104" s="47" t="str">
        <f t="shared" si="29"/>
        <v/>
      </c>
      <c r="S104" s="47" t="str">
        <f t="shared" si="30"/>
        <v/>
      </c>
      <c r="T104" s="47" t="str">
        <f t="shared" si="31"/>
        <v/>
      </c>
      <c r="U104" s="47" t="str">
        <f t="shared" si="32"/>
        <v/>
      </c>
      <c r="W104" s="49">
        <f t="shared" si="34"/>
        <v>0</v>
      </c>
      <c r="X104" s="49">
        <f t="shared" si="35"/>
        <v>0</v>
      </c>
    </row>
    <row r="105" spans="1:24" ht="9.9499999999999993" customHeight="1" x14ac:dyDescent="0.25">
      <c r="A105" s="54" t="str">
        <f>IF(Срок_Кредита&lt;93,"",93)</f>
        <v/>
      </c>
      <c r="B105" s="55" t="str">
        <f t="shared" si="36"/>
        <v/>
      </c>
      <c r="C105" s="56" t="str">
        <f t="shared" si="21"/>
        <v/>
      </c>
      <c r="D105" s="56" t="str">
        <f t="shared" si="19"/>
        <v/>
      </c>
      <c r="E105" s="56" t="str">
        <f t="shared" si="33"/>
        <v/>
      </c>
      <c r="I105" s="47" t="str">
        <f t="shared" si="22"/>
        <v/>
      </c>
      <c r="J105" s="52" t="str">
        <f t="shared" si="23"/>
        <v/>
      </c>
      <c r="K105" s="52" t="str">
        <f t="shared" si="24"/>
        <v/>
      </c>
      <c r="L105" s="48" t="str">
        <f t="shared" si="25"/>
        <v/>
      </c>
      <c r="M105" s="48" t="str">
        <f t="shared" si="20"/>
        <v/>
      </c>
      <c r="N105" s="49" t="str">
        <f t="shared" si="26"/>
        <v/>
      </c>
      <c r="O105" s="53" t="str">
        <f t="shared" si="27"/>
        <v/>
      </c>
      <c r="P105" s="49" t="str">
        <f t="shared" si="37"/>
        <v/>
      </c>
      <c r="Q105" s="47" t="str">
        <f t="shared" si="28"/>
        <v/>
      </c>
      <c r="R105" s="47" t="str">
        <f t="shared" si="29"/>
        <v/>
      </c>
      <c r="S105" s="47" t="str">
        <f t="shared" si="30"/>
        <v/>
      </c>
      <c r="T105" s="47" t="str">
        <f t="shared" si="31"/>
        <v/>
      </c>
      <c r="U105" s="47" t="str">
        <f t="shared" si="32"/>
        <v/>
      </c>
      <c r="W105" s="49">
        <f t="shared" si="34"/>
        <v>0</v>
      </c>
      <c r="X105" s="49">
        <f t="shared" si="35"/>
        <v>0</v>
      </c>
    </row>
    <row r="106" spans="1:24" ht="9.9499999999999993" customHeight="1" x14ac:dyDescent="0.25">
      <c r="A106" s="54" t="str">
        <f>IF(Срок_Кредита&lt;94,"",94)</f>
        <v/>
      </c>
      <c r="B106" s="55" t="str">
        <f t="shared" si="36"/>
        <v/>
      </c>
      <c r="C106" s="56" t="str">
        <f t="shared" si="21"/>
        <v/>
      </c>
      <c r="D106" s="56" t="str">
        <f t="shared" si="19"/>
        <v/>
      </c>
      <c r="E106" s="56" t="str">
        <f t="shared" si="33"/>
        <v/>
      </c>
      <c r="I106" s="47" t="str">
        <f t="shared" si="22"/>
        <v/>
      </c>
      <c r="J106" s="52" t="str">
        <f t="shared" si="23"/>
        <v/>
      </c>
      <c r="K106" s="52" t="str">
        <f t="shared" si="24"/>
        <v/>
      </c>
      <c r="L106" s="48" t="str">
        <f t="shared" si="25"/>
        <v/>
      </c>
      <c r="M106" s="48" t="str">
        <f t="shared" si="20"/>
        <v/>
      </c>
      <c r="N106" s="49" t="str">
        <f t="shared" si="26"/>
        <v/>
      </c>
      <c r="O106" s="53" t="str">
        <f t="shared" si="27"/>
        <v/>
      </c>
      <c r="P106" s="49" t="str">
        <f t="shared" si="37"/>
        <v/>
      </c>
      <c r="Q106" s="47" t="str">
        <f t="shared" si="28"/>
        <v/>
      </c>
      <c r="R106" s="47" t="str">
        <f t="shared" si="29"/>
        <v/>
      </c>
      <c r="S106" s="47" t="str">
        <f t="shared" si="30"/>
        <v/>
      </c>
      <c r="T106" s="47" t="str">
        <f t="shared" si="31"/>
        <v/>
      </c>
      <c r="U106" s="47" t="str">
        <f t="shared" si="32"/>
        <v/>
      </c>
      <c r="W106" s="49">
        <f t="shared" si="34"/>
        <v>0</v>
      </c>
      <c r="X106" s="49">
        <f t="shared" si="35"/>
        <v>0</v>
      </c>
    </row>
    <row r="107" spans="1:24" ht="9.9499999999999993" customHeight="1" x14ac:dyDescent="0.25">
      <c r="A107" s="54" t="str">
        <f>IF(Срок_Кредита&lt;95,"",95)</f>
        <v/>
      </c>
      <c r="B107" s="55" t="str">
        <f t="shared" si="36"/>
        <v/>
      </c>
      <c r="C107" s="56" t="str">
        <f t="shared" si="21"/>
        <v/>
      </c>
      <c r="D107" s="56" t="str">
        <f t="shared" si="19"/>
        <v/>
      </c>
      <c r="E107" s="56" t="str">
        <f t="shared" si="33"/>
        <v/>
      </c>
      <c r="I107" s="47" t="str">
        <f t="shared" si="22"/>
        <v/>
      </c>
      <c r="J107" s="52" t="str">
        <f t="shared" si="23"/>
        <v/>
      </c>
      <c r="K107" s="52" t="str">
        <f t="shared" si="24"/>
        <v/>
      </c>
      <c r="L107" s="48" t="str">
        <f t="shared" si="25"/>
        <v/>
      </c>
      <c r="M107" s="48" t="str">
        <f t="shared" si="20"/>
        <v/>
      </c>
      <c r="N107" s="49" t="str">
        <f t="shared" si="26"/>
        <v/>
      </c>
      <c r="O107" s="53" t="str">
        <f t="shared" si="27"/>
        <v/>
      </c>
      <c r="P107" s="49" t="str">
        <f t="shared" si="37"/>
        <v/>
      </c>
      <c r="Q107" s="47" t="str">
        <f t="shared" si="28"/>
        <v/>
      </c>
      <c r="R107" s="47" t="str">
        <f t="shared" si="29"/>
        <v/>
      </c>
      <c r="S107" s="47" t="str">
        <f t="shared" si="30"/>
        <v/>
      </c>
      <c r="T107" s="47" t="str">
        <f t="shared" si="31"/>
        <v/>
      </c>
      <c r="U107" s="47" t="str">
        <f t="shared" si="32"/>
        <v/>
      </c>
      <c r="W107" s="49">
        <f t="shared" si="34"/>
        <v>0</v>
      </c>
      <c r="X107" s="49">
        <f t="shared" si="35"/>
        <v>0</v>
      </c>
    </row>
    <row r="108" spans="1:24" ht="9.9499999999999993" customHeight="1" x14ac:dyDescent="0.25">
      <c r="A108" s="54" t="str">
        <f>IF(Срок_Кредита&lt;96,"",96)</f>
        <v/>
      </c>
      <c r="B108" s="55" t="str">
        <f t="shared" si="36"/>
        <v/>
      </c>
      <c r="C108" s="56" t="str">
        <f t="shared" si="21"/>
        <v/>
      </c>
      <c r="D108" s="56" t="str">
        <f t="shared" si="19"/>
        <v/>
      </c>
      <c r="E108" s="56" t="str">
        <f t="shared" si="33"/>
        <v/>
      </c>
      <c r="I108" s="47" t="str">
        <f t="shared" si="22"/>
        <v/>
      </c>
      <c r="J108" s="52" t="str">
        <f t="shared" si="23"/>
        <v/>
      </c>
      <c r="K108" s="52" t="str">
        <f t="shared" si="24"/>
        <v/>
      </c>
      <c r="L108" s="48" t="str">
        <f t="shared" si="25"/>
        <v/>
      </c>
      <c r="M108" s="48" t="str">
        <f t="shared" si="20"/>
        <v/>
      </c>
      <c r="N108" s="49" t="str">
        <f t="shared" si="26"/>
        <v/>
      </c>
      <c r="O108" s="53" t="str">
        <f t="shared" si="27"/>
        <v/>
      </c>
      <c r="P108" s="49" t="str">
        <f t="shared" si="37"/>
        <v/>
      </c>
      <c r="Q108" s="47" t="str">
        <f t="shared" si="28"/>
        <v/>
      </c>
      <c r="R108" s="47" t="str">
        <f t="shared" si="29"/>
        <v/>
      </c>
      <c r="S108" s="47" t="str">
        <f t="shared" si="30"/>
        <v/>
      </c>
      <c r="T108" s="47" t="str">
        <f t="shared" si="31"/>
        <v/>
      </c>
      <c r="U108" s="47" t="str">
        <f t="shared" si="32"/>
        <v/>
      </c>
      <c r="W108" s="49">
        <f t="shared" si="34"/>
        <v>0</v>
      </c>
      <c r="X108" s="49">
        <f t="shared" si="35"/>
        <v>0</v>
      </c>
    </row>
    <row r="109" spans="1:24" ht="9.9499999999999993" customHeight="1" x14ac:dyDescent="0.25">
      <c r="A109" s="54" t="str">
        <f>IF(Срок_Кредита&lt;97,"",97)</f>
        <v/>
      </c>
      <c r="B109" s="55" t="str">
        <f t="shared" si="36"/>
        <v/>
      </c>
      <c r="C109" s="56" t="str">
        <f t="shared" si="21"/>
        <v/>
      </c>
      <c r="D109" s="56" t="str">
        <f t="shared" ref="D109:D132" si="38">IF(A109="","",Q109)</f>
        <v/>
      </c>
      <c r="E109" s="56" t="str">
        <f t="shared" si="33"/>
        <v/>
      </c>
      <c r="I109" s="47" t="str">
        <f t="shared" si="22"/>
        <v/>
      </c>
      <c r="J109" s="52" t="str">
        <f t="shared" si="23"/>
        <v/>
      </c>
      <c r="K109" s="52" t="str">
        <f t="shared" si="24"/>
        <v/>
      </c>
      <c r="L109" s="48" t="str">
        <f t="shared" si="25"/>
        <v/>
      </c>
      <c r="M109" s="48" t="str">
        <f t="shared" ref="M109:M132" si="39">IF(A109="","",EOMONTH(L109,0))</f>
        <v/>
      </c>
      <c r="N109" s="49" t="str">
        <f t="shared" si="26"/>
        <v/>
      </c>
      <c r="O109" s="53" t="str">
        <f t="shared" si="27"/>
        <v/>
      </c>
      <c r="P109" s="49" t="str">
        <f t="shared" si="37"/>
        <v/>
      </c>
      <c r="Q109" s="47" t="str">
        <f t="shared" si="28"/>
        <v/>
      </c>
      <c r="R109" s="47" t="str">
        <f t="shared" si="29"/>
        <v/>
      </c>
      <c r="S109" s="47" t="str">
        <f t="shared" si="30"/>
        <v/>
      </c>
      <c r="T109" s="47" t="str">
        <f t="shared" si="31"/>
        <v/>
      </c>
      <c r="U109" s="47" t="str">
        <f t="shared" si="32"/>
        <v/>
      </c>
      <c r="W109" s="49">
        <f t="shared" si="34"/>
        <v>0</v>
      </c>
      <c r="X109" s="49">
        <f t="shared" si="35"/>
        <v>0</v>
      </c>
    </row>
    <row r="110" spans="1:24" ht="9.9499999999999993" customHeight="1" x14ac:dyDescent="0.25">
      <c r="A110" s="54" t="str">
        <f>IF(Срок_Кредита&lt;98,"",98)</f>
        <v/>
      </c>
      <c r="B110" s="55" t="str">
        <f t="shared" si="36"/>
        <v/>
      </c>
      <c r="C110" s="56" t="str">
        <f t="shared" ref="C110:C132" si="40">IF(A110="","",IF(A110&lt;=Отсрочка_ОД,0,ROUND((I110*(Основная_Ставка/12)/(1-POWER(1+Основная_Ставка/12,-(Срок_Кредита-A109)))),2)-ROUND((I110*Основная_Ставка/12),2)))</f>
        <v/>
      </c>
      <c r="D110" s="56" t="str">
        <f t="shared" si="38"/>
        <v/>
      </c>
      <c r="E110" s="56" t="str">
        <f t="shared" si="33"/>
        <v/>
      </c>
      <c r="I110" s="47" t="str">
        <f t="shared" ref="I110:I132" si="41">IF(A110="","",I109-C109)</f>
        <v/>
      </c>
      <c r="J110" s="52" t="str">
        <f t="shared" ref="J110:J132" si="42">IF(A110="","",K109)</f>
        <v/>
      </c>
      <c r="K110" s="52" t="str">
        <f t="shared" ref="K110:K132" si="43">IF(A110="","",I110)</f>
        <v/>
      </c>
      <c r="L110" s="48" t="str">
        <f t="shared" ref="L110:L132" si="44">IF(A110="","",DATE(YEAR(Дата_выдачи_кредита),MONTH(Дата_выдачи_кредита)+A109,DAY(1)))</f>
        <v/>
      </c>
      <c r="M110" s="48" t="str">
        <f t="shared" si="39"/>
        <v/>
      </c>
      <c r="N110" s="49" t="str">
        <f t="shared" ref="N110:N132" si="45">IF(A110="","",IF(A110=Срок_Кредита,4,IF(Кол_во_Льготных_дней=0,3,IF(Дата_второй_ставки&gt;=M110,1,IF(Дата_второй_ставки&gt;L110,IF(Дата_второй_ставки&lt;M110,2),3)))))</f>
        <v/>
      </c>
      <c r="O110" s="53" t="str">
        <f t="shared" ref="O110:O132" si="46">IF(A110="","",IF(N110=1,Платежная_дата,IF(N110=2,$N$7,Платежная_дата)))</f>
        <v/>
      </c>
      <c r="P110" s="49" t="str">
        <f t="shared" si="37"/>
        <v/>
      </c>
      <c r="Q110" s="47" t="str">
        <f t="shared" ref="Q110:Q132" si="47">IF(A110="","",IF(N110=1,R110,IF(N110=2,S110,IF(N110=3,T110,IF(N110=4,U110)))))</f>
        <v/>
      </c>
      <c r="R110" s="47" t="str">
        <f t="shared" ref="R110:R132" si="48">IF(A110="","",ROUND((J110*Льготная_Ставка*O110/360)+(K110*Льготная_Ставка*P110/360),2))</f>
        <v/>
      </c>
      <c r="S110" s="47" t="str">
        <f t="shared" ref="S110:S132" si="49">IF(A110="","",IF($N$7&lt;Платежная_дата,(ROUND((J110*Льготная_Ставка*$N$7/360)+(J110*Основная_Ставка*(Платежная_дата-$N$7)/360)+(K110*Основная_Ставка*$N$5/360),2)),IF($N$7=Платежная_дата,(ROUND((J110*Льготная_Ставка*Платежная_дата/360)+(K110*Основная_Ставка*$N$5/360),2)),IF($N$7&gt;Платежная_дата,(ROUND((J110*Льготная_Ставка*Платежная_дата/360)+(K110*Льготная_Ставка*($N$7-Платежная_дата)/360)+(K110*Основная_Ставка*$N$8/360),2))))))</f>
        <v/>
      </c>
      <c r="T110" s="47" t="str">
        <f t="shared" ref="T110:T132" si="50">IF(A110="","",ROUND((J110*Основная_Ставка*O110/360)+(K110*Основная_Ставка*P110/360),2))</f>
        <v/>
      </c>
      <c r="U110" s="47" t="str">
        <f t="shared" ref="U110:U132" si="51">IF(A110="","",ROUND((J110*Основная_Ставка*O110/360)+(K110*Основная_Ставка*P110/360)+(K110*Основная_Ставка*Платежная_дата/360),2))</f>
        <v/>
      </c>
      <c r="W110" s="49">
        <f t="shared" si="34"/>
        <v>0</v>
      </c>
      <c r="X110" s="49">
        <f t="shared" si="35"/>
        <v>0</v>
      </c>
    </row>
    <row r="111" spans="1:24" ht="9.9499999999999993" customHeight="1" x14ac:dyDescent="0.25">
      <c r="A111" s="54" t="str">
        <f>IF(Срок_Кредита&lt;99,"",99)</f>
        <v/>
      </c>
      <c r="B111" s="55" t="str">
        <f t="shared" si="36"/>
        <v/>
      </c>
      <c r="C111" s="56" t="str">
        <f t="shared" si="40"/>
        <v/>
      </c>
      <c r="D111" s="56" t="str">
        <f t="shared" si="38"/>
        <v/>
      </c>
      <c r="E111" s="56" t="str">
        <f t="shared" si="33"/>
        <v/>
      </c>
      <c r="I111" s="47" t="str">
        <f t="shared" si="41"/>
        <v/>
      </c>
      <c r="J111" s="52" t="str">
        <f t="shared" si="42"/>
        <v/>
      </c>
      <c r="K111" s="52" t="str">
        <f t="shared" si="43"/>
        <v/>
      </c>
      <c r="L111" s="48" t="str">
        <f t="shared" si="44"/>
        <v/>
      </c>
      <c r="M111" s="48" t="str">
        <f t="shared" si="39"/>
        <v/>
      </c>
      <c r="N111" s="49" t="str">
        <f t="shared" si="45"/>
        <v/>
      </c>
      <c r="O111" s="53" t="str">
        <f t="shared" si="46"/>
        <v/>
      </c>
      <c r="P111" s="49" t="str">
        <f t="shared" si="37"/>
        <v/>
      </c>
      <c r="Q111" s="47" t="str">
        <f t="shared" si="47"/>
        <v/>
      </c>
      <c r="R111" s="47" t="str">
        <f t="shared" si="48"/>
        <v/>
      </c>
      <c r="S111" s="47" t="str">
        <f t="shared" si="49"/>
        <v/>
      </c>
      <c r="T111" s="47" t="str">
        <f t="shared" si="50"/>
        <v/>
      </c>
      <c r="U111" s="47" t="str">
        <f t="shared" si="51"/>
        <v/>
      </c>
      <c r="W111" s="49">
        <f t="shared" si="34"/>
        <v>0</v>
      </c>
      <c r="X111" s="49">
        <f t="shared" si="35"/>
        <v>0</v>
      </c>
    </row>
    <row r="112" spans="1:24" ht="9.9499999999999993" customHeight="1" x14ac:dyDescent="0.25">
      <c r="A112" s="54" t="str">
        <f>IF(Срок_Кредита&lt;100,"",100)</f>
        <v/>
      </c>
      <c r="B112" s="55" t="str">
        <f t="shared" si="36"/>
        <v/>
      </c>
      <c r="C112" s="56" t="str">
        <f t="shared" si="40"/>
        <v/>
      </c>
      <c r="D112" s="56" t="str">
        <f t="shared" si="38"/>
        <v/>
      </c>
      <c r="E112" s="56" t="str">
        <f t="shared" si="33"/>
        <v/>
      </c>
      <c r="I112" s="47" t="str">
        <f t="shared" si="41"/>
        <v/>
      </c>
      <c r="J112" s="52" t="str">
        <f t="shared" si="42"/>
        <v/>
      </c>
      <c r="K112" s="52" t="str">
        <f t="shared" si="43"/>
        <v/>
      </c>
      <c r="L112" s="48" t="str">
        <f t="shared" si="44"/>
        <v/>
      </c>
      <c r="M112" s="48" t="str">
        <f t="shared" si="39"/>
        <v/>
      </c>
      <c r="N112" s="49" t="str">
        <f t="shared" si="45"/>
        <v/>
      </c>
      <c r="O112" s="53" t="str">
        <f t="shared" si="46"/>
        <v/>
      </c>
      <c r="P112" s="49" t="str">
        <f t="shared" si="37"/>
        <v/>
      </c>
      <c r="Q112" s="47" t="str">
        <f t="shared" si="47"/>
        <v/>
      </c>
      <c r="R112" s="47" t="str">
        <f t="shared" si="48"/>
        <v/>
      </c>
      <c r="S112" s="47" t="str">
        <f t="shared" si="49"/>
        <v/>
      </c>
      <c r="T112" s="47" t="str">
        <f t="shared" si="50"/>
        <v/>
      </c>
      <c r="U112" s="47" t="str">
        <f t="shared" si="51"/>
        <v/>
      </c>
      <c r="W112" s="49">
        <f t="shared" si="34"/>
        <v>0</v>
      </c>
      <c r="X112" s="49">
        <f t="shared" si="35"/>
        <v>0</v>
      </c>
    </row>
    <row r="113" spans="1:24" ht="9.9499999999999993" customHeight="1" x14ac:dyDescent="0.25">
      <c r="A113" s="54" t="str">
        <f>IF(Срок_Кредита&lt;101,"",101)</f>
        <v/>
      </c>
      <c r="B113" s="55" t="str">
        <f t="shared" si="36"/>
        <v/>
      </c>
      <c r="C113" s="56" t="str">
        <f t="shared" si="40"/>
        <v/>
      </c>
      <c r="D113" s="56" t="str">
        <f t="shared" si="38"/>
        <v/>
      </c>
      <c r="E113" s="56" t="str">
        <f t="shared" si="33"/>
        <v/>
      </c>
      <c r="I113" s="47" t="str">
        <f t="shared" si="41"/>
        <v/>
      </c>
      <c r="J113" s="52" t="str">
        <f t="shared" si="42"/>
        <v/>
      </c>
      <c r="K113" s="52" t="str">
        <f t="shared" si="43"/>
        <v/>
      </c>
      <c r="L113" s="48" t="str">
        <f t="shared" si="44"/>
        <v/>
      </c>
      <c r="M113" s="48" t="str">
        <f t="shared" si="39"/>
        <v/>
      </c>
      <c r="N113" s="49" t="str">
        <f t="shared" si="45"/>
        <v/>
      </c>
      <c r="O113" s="53" t="str">
        <f t="shared" si="46"/>
        <v/>
      </c>
      <c r="P113" s="49" t="str">
        <f t="shared" si="37"/>
        <v/>
      </c>
      <c r="Q113" s="47" t="str">
        <f t="shared" si="47"/>
        <v/>
      </c>
      <c r="R113" s="47" t="str">
        <f t="shared" si="48"/>
        <v/>
      </c>
      <c r="S113" s="47" t="str">
        <f t="shared" si="49"/>
        <v/>
      </c>
      <c r="T113" s="47" t="str">
        <f t="shared" si="50"/>
        <v/>
      </c>
      <c r="U113" s="47" t="str">
        <f t="shared" si="51"/>
        <v/>
      </c>
      <c r="W113" s="49">
        <f t="shared" si="34"/>
        <v>0</v>
      </c>
      <c r="X113" s="49">
        <f t="shared" si="35"/>
        <v>0</v>
      </c>
    </row>
    <row r="114" spans="1:24" ht="9.9499999999999993" customHeight="1" x14ac:dyDescent="0.25">
      <c r="A114" s="54" t="str">
        <f>IF(Срок_Кредита&lt;102,"",102)</f>
        <v/>
      </c>
      <c r="B114" s="55" t="str">
        <f t="shared" si="36"/>
        <v/>
      </c>
      <c r="C114" s="56" t="str">
        <f t="shared" si="40"/>
        <v/>
      </c>
      <c r="D114" s="56" t="str">
        <f t="shared" si="38"/>
        <v/>
      </c>
      <c r="E114" s="56" t="str">
        <f t="shared" si="33"/>
        <v/>
      </c>
      <c r="I114" s="47" t="str">
        <f t="shared" si="41"/>
        <v/>
      </c>
      <c r="J114" s="52" t="str">
        <f t="shared" si="42"/>
        <v/>
      </c>
      <c r="K114" s="52" t="str">
        <f t="shared" si="43"/>
        <v/>
      </c>
      <c r="L114" s="48" t="str">
        <f t="shared" si="44"/>
        <v/>
      </c>
      <c r="M114" s="48" t="str">
        <f t="shared" si="39"/>
        <v/>
      </c>
      <c r="N114" s="49" t="str">
        <f t="shared" si="45"/>
        <v/>
      </c>
      <c r="O114" s="53" t="str">
        <f t="shared" si="46"/>
        <v/>
      </c>
      <c r="P114" s="49" t="str">
        <f t="shared" si="37"/>
        <v/>
      </c>
      <c r="Q114" s="47" t="str">
        <f t="shared" si="47"/>
        <v/>
      </c>
      <c r="R114" s="47" t="str">
        <f t="shared" si="48"/>
        <v/>
      </c>
      <c r="S114" s="47" t="str">
        <f t="shared" si="49"/>
        <v/>
      </c>
      <c r="T114" s="47" t="str">
        <f t="shared" si="50"/>
        <v/>
      </c>
      <c r="U114" s="47" t="str">
        <f t="shared" si="51"/>
        <v/>
      </c>
      <c r="W114" s="49">
        <f t="shared" si="34"/>
        <v>0</v>
      </c>
      <c r="X114" s="49">
        <f t="shared" si="35"/>
        <v>0</v>
      </c>
    </row>
    <row r="115" spans="1:24" ht="9.9499999999999993" customHeight="1" x14ac:dyDescent="0.25">
      <c r="A115" s="54" t="str">
        <f>IF(Срок_Кредита&lt;103,"",103)</f>
        <v/>
      </c>
      <c r="B115" s="55" t="str">
        <f t="shared" si="36"/>
        <v/>
      </c>
      <c r="C115" s="56" t="str">
        <f t="shared" si="40"/>
        <v/>
      </c>
      <c r="D115" s="56" t="str">
        <f t="shared" si="38"/>
        <v/>
      </c>
      <c r="E115" s="56" t="str">
        <f t="shared" si="33"/>
        <v/>
      </c>
      <c r="I115" s="47" t="str">
        <f t="shared" si="41"/>
        <v/>
      </c>
      <c r="J115" s="52" t="str">
        <f t="shared" si="42"/>
        <v/>
      </c>
      <c r="K115" s="52" t="str">
        <f t="shared" si="43"/>
        <v/>
      </c>
      <c r="L115" s="48" t="str">
        <f t="shared" si="44"/>
        <v/>
      </c>
      <c r="M115" s="48" t="str">
        <f t="shared" si="39"/>
        <v/>
      </c>
      <c r="N115" s="49" t="str">
        <f t="shared" si="45"/>
        <v/>
      </c>
      <c r="O115" s="53" t="str">
        <f t="shared" si="46"/>
        <v/>
      </c>
      <c r="P115" s="49" t="str">
        <f t="shared" si="37"/>
        <v/>
      </c>
      <c r="Q115" s="47" t="str">
        <f t="shared" si="47"/>
        <v/>
      </c>
      <c r="R115" s="47" t="str">
        <f t="shared" si="48"/>
        <v/>
      </c>
      <c r="S115" s="47" t="str">
        <f t="shared" si="49"/>
        <v/>
      </c>
      <c r="T115" s="47" t="str">
        <f t="shared" si="50"/>
        <v/>
      </c>
      <c r="U115" s="47" t="str">
        <f t="shared" si="51"/>
        <v/>
      </c>
      <c r="W115" s="49">
        <f t="shared" si="34"/>
        <v>0</v>
      </c>
      <c r="X115" s="49">
        <f t="shared" si="35"/>
        <v>0</v>
      </c>
    </row>
    <row r="116" spans="1:24" ht="9.9499999999999993" customHeight="1" x14ac:dyDescent="0.25">
      <c r="A116" s="54" t="str">
        <f>IF(Срок_Кредита&lt;104,"",104)</f>
        <v/>
      </c>
      <c r="B116" s="55" t="str">
        <f t="shared" si="36"/>
        <v/>
      </c>
      <c r="C116" s="56" t="str">
        <f t="shared" si="40"/>
        <v/>
      </c>
      <c r="D116" s="56" t="str">
        <f t="shared" si="38"/>
        <v/>
      </c>
      <c r="E116" s="56" t="str">
        <f t="shared" si="33"/>
        <v/>
      </c>
      <c r="I116" s="47" t="str">
        <f t="shared" si="41"/>
        <v/>
      </c>
      <c r="J116" s="52" t="str">
        <f t="shared" si="42"/>
        <v/>
      </c>
      <c r="K116" s="52" t="str">
        <f t="shared" si="43"/>
        <v/>
      </c>
      <c r="L116" s="48" t="str">
        <f t="shared" si="44"/>
        <v/>
      </c>
      <c r="M116" s="48" t="str">
        <f t="shared" si="39"/>
        <v/>
      </c>
      <c r="N116" s="49" t="str">
        <f t="shared" si="45"/>
        <v/>
      </c>
      <c r="O116" s="53" t="str">
        <f t="shared" si="46"/>
        <v/>
      </c>
      <c r="P116" s="49" t="str">
        <f t="shared" si="37"/>
        <v/>
      </c>
      <c r="Q116" s="47" t="str">
        <f t="shared" si="47"/>
        <v/>
      </c>
      <c r="R116" s="47" t="str">
        <f t="shared" si="48"/>
        <v/>
      </c>
      <c r="S116" s="47" t="str">
        <f t="shared" si="49"/>
        <v/>
      </c>
      <c r="T116" s="47" t="str">
        <f t="shared" si="50"/>
        <v/>
      </c>
      <c r="U116" s="47" t="str">
        <f t="shared" si="51"/>
        <v/>
      </c>
      <c r="W116" s="49">
        <f t="shared" si="34"/>
        <v>0</v>
      </c>
      <c r="X116" s="49">
        <f t="shared" si="35"/>
        <v>0</v>
      </c>
    </row>
    <row r="117" spans="1:24" ht="9.9499999999999993" customHeight="1" x14ac:dyDescent="0.25">
      <c r="A117" s="54" t="str">
        <f>IF(Срок_Кредита&lt;105,"",105)</f>
        <v/>
      </c>
      <c r="B117" s="55" t="str">
        <f t="shared" si="36"/>
        <v/>
      </c>
      <c r="C117" s="56" t="str">
        <f t="shared" si="40"/>
        <v/>
      </c>
      <c r="D117" s="56" t="str">
        <f t="shared" si="38"/>
        <v/>
      </c>
      <c r="E117" s="56" t="str">
        <f t="shared" si="33"/>
        <v/>
      </c>
      <c r="I117" s="47" t="str">
        <f t="shared" si="41"/>
        <v/>
      </c>
      <c r="J117" s="52" t="str">
        <f t="shared" si="42"/>
        <v/>
      </c>
      <c r="K117" s="52" t="str">
        <f t="shared" si="43"/>
        <v/>
      </c>
      <c r="L117" s="48" t="str">
        <f t="shared" si="44"/>
        <v/>
      </c>
      <c r="M117" s="48" t="str">
        <f t="shared" si="39"/>
        <v/>
      </c>
      <c r="N117" s="49" t="str">
        <f t="shared" si="45"/>
        <v/>
      </c>
      <c r="O117" s="53" t="str">
        <f t="shared" si="46"/>
        <v/>
      </c>
      <c r="P117" s="49" t="str">
        <f t="shared" si="37"/>
        <v/>
      </c>
      <c r="Q117" s="47" t="str">
        <f t="shared" si="47"/>
        <v/>
      </c>
      <c r="R117" s="47" t="str">
        <f t="shared" si="48"/>
        <v/>
      </c>
      <c r="S117" s="47" t="str">
        <f t="shared" si="49"/>
        <v/>
      </c>
      <c r="T117" s="47" t="str">
        <f t="shared" si="50"/>
        <v/>
      </c>
      <c r="U117" s="47" t="str">
        <f t="shared" si="51"/>
        <v/>
      </c>
      <c r="W117" s="49">
        <f t="shared" si="34"/>
        <v>0</v>
      </c>
      <c r="X117" s="49">
        <f t="shared" si="35"/>
        <v>0</v>
      </c>
    </row>
    <row r="118" spans="1:24" ht="9.9499999999999993" customHeight="1" x14ac:dyDescent="0.25">
      <c r="A118" s="54" t="str">
        <f>IF(Срок_Кредита&lt;106,"",106)</f>
        <v/>
      </c>
      <c r="B118" s="55" t="str">
        <f t="shared" si="36"/>
        <v/>
      </c>
      <c r="C118" s="56" t="str">
        <f t="shared" si="40"/>
        <v/>
      </c>
      <c r="D118" s="56" t="str">
        <f t="shared" si="38"/>
        <v/>
      </c>
      <c r="E118" s="56" t="str">
        <f t="shared" si="33"/>
        <v/>
      </c>
      <c r="I118" s="47" t="str">
        <f t="shared" si="41"/>
        <v/>
      </c>
      <c r="J118" s="52" t="str">
        <f t="shared" si="42"/>
        <v/>
      </c>
      <c r="K118" s="52" t="str">
        <f t="shared" si="43"/>
        <v/>
      </c>
      <c r="L118" s="48" t="str">
        <f t="shared" si="44"/>
        <v/>
      </c>
      <c r="M118" s="48" t="str">
        <f t="shared" si="39"/>
        <v/>
      </c>
      <c r="N118" s="49" t="str">
        <f t="shared" si="45"/>
        <v/>
      </c>
      <c r="O118" s="53" t="str">
        <f t="shared" si="46"/>
        <v/>
      </c>
      <c r="P118" s="49" t="str">
        <f t="shared" si="37"/>
        <v/>
      </c>
      <c r="Q118" s="47" t="str">
        <f t="shared" si="47"/>
        <v/>
      </c>
      <c r="R118" s="47" t="str">
        <f t="shared" si="48"/>
        <v/>
      </c>
      <c r="S118" s="47" t="str">
        <f t="shared" si="49"/>
        <v/>
      </c>
      <c r="T118" s="47" t="str">
        <f t="shared" si="50"/>
        <v/>
      </c>
      <c r="U118" s="47" t="str">
        <f t="shared" si="51"/>
        <v/>
      </c>
      <c r="W118" s="49">
        <f t="shared" si="34"/>
        <v>0</v>
      </c>
      <c r="X118" s="49">
        <f t="shared" si="35"/>
        <v>0</v>
      </c>
    </row>
    <row r="119" spans="1:24" ht="9.9499999999999993" customHeight="1" x14ac:dyDescent="0.25">
      <c r="A119" s="54" t="str">
        <f>IF(Срок_Кредита&lt;107,"",107)</f>
        <v/>
      </c>
      <c r="B119" s="55" t="str">
        <f t="shared" si="36"/>
        <v/>
      </c>
      <c r="C119" s="56" t="str">
        <f t="shared" si="40"/>
        <v/>
      </c>
      <c r="D119" s="56" t="str">
        <f t="shared" si="38"/>
        <v/>
      </c>
      <c r="E119" s="56" t="str">
        <f t="shared" si="33"/>
        <v/>
      </c>
      <c r="I119" s="47" t="str">
        <f t="shared" si="41"/>
        <v/>
      </c>
      <c r="J119" s="52" t="str">
        <f t="shared" si="42"/>
        <v/>
      </c>
      <c r="K119" s="52" t="str">
        <f t="shared" si="43"/>
        <v/>
      </c>
      <c r="L119" s="48" t="str">
        <f t="shared" si="44"/>
        <v/>
      </c>
      <c r="M119" s="48" t="str">
        <f t="shared" si="39"/>
        <v/>
      </c>
      <c r="N119" s="49" t="str">
        <f t="shared" si="45"/>
        <v/>
      </c>
      <c r="O119" s="53" t="str">
        <f t="shared" si="46"/>
        <v/>
      </c>
      <c r="P119" s="49" t="str">
        <f t="shared" si="37"/>
        <v/>
      </c>
      <c r="Q119" s="47" t="str">
        <f t="shared" si="47"/>
        <v/>
      </c>
      <c r="R119" s="47" t="str">
        <f t="shared" si="48"/>
        <v/>
      </c>
      <c r="S119" s="47" t="str">
        <f t="shared" si="49"/>
        <v/>
      </c>
      <c r="T119" s="47" t="str">
        <f t="shared" si="50"/>
        <v/>
      </c>
      <c r="U119" s="47" t="str">
        <f t="shared" si="51"/>
        <v/>
      </c>
      <c r="W119" s="49">
        <f t="shared" si="34"/>
        <v>0</v>
      </c>
      <c r="X119" s="49">
        <f t="shared" si="35"/>
        <v>0</v>
      </c>
    </row>
    <row r="120" spans="1:24" ht="9.9499999999999993" customHeight="1" x14ac:dyDescent="0.25">
      <c r="A120" s="54" t="str">
        <f>IF(Срок_Кредита&lt;108,"",108)</f>
        <v/>
      </c>
      <c r="B120" s="55" t="str">
        <f t="shared" si="36"/>
        <v/>
      </c>
      <c r="C120" s="56" t="str">
        <f t="shared" si="40"/>
        <v/>
      </c>
      <c r="D120" s="56" t="str">
        <f t="shared" si="38"/>
        <v/>
      </c>
      <c r="E120" s="56" t="str">
        <f t="shared" si="33"/>
        <v/>
      </c>
      <c r="I120" s="47" t="str">
        <f t="shared" si="41"/>
        <v/>
      </c>
      <c r="J120" s="52" t="str">
        <f t="shared" si="42"/>
        <v/>
      </c>
      <c r="K120" s="52" t="str">
        <f t="shared" si="43"/>
        <v/>
      </c>
      <c r="L120" s="48" t="str">
        <f t="shared" si="44"/>
        <v/>
      </c>
      <c r="M120" s="48" t="str">
        <f t="shared" si="39"/>
        <v/>
      </c>
      <c r="N120" s="49" t="str">
        <f t="shared" si="45"/>
        <v/>
      </c>
      <c r="O120" s="53" t="str">
        <f t="shared" si="46"/>
        <v/>
      </c>
      <c r="P120" s="49" t="str">
        <f t="shared" si="37"/>
        <v/>
      </c>
      <c r="Q120" s="47" t="str">
        <f t="shared" si="47"/>
        <v/>
      </c>
      <c r="R120" s="47" t="str">
        <f t="shared" si="48"/>
        <v/>
      </c>
      <c r="S120" s="47" t="str">
        <f t="shared" si="49"/>
        <v/>
      </c>
      <c r="T120" s="47" t="str">
        <f t="shared" si="50"/>
        <v/>
      </c>
      <c r="U120" s="47" t="str">
        <f t="shared" si="51"/>
        <v/>
      </c>
      <c r="W120" s="49">
        <f t="shared" si="34"/>
        <v>0</v>
      </c>
      <c r="X120" s="49">
        <f t="shared" si="35"/>
        <v>0</v>
      </c>
    </row>
    <row r="121" spans="1:24" ht="9.9499999999999993" customHeight="1" x14ac:dyDescent="0.25">
      <c r="A121" s="54" t="str">
        <f>IF(Срок_Кредита&lt;109,"",109)</f>
        <v/>
      </c>
      <c r="B121" s="55" t="str">
        <f t="shared" si="36"/>
        <v/>
      </c>
      <c r="C121" s="56" t="str">
        <f t="shared" si="40"/>
        <v/>
      </c>
      <c r="D121" s="56" t="str">
        <f t="shared" si="38"/>
        <v/>
      </c>
      <c r="E121" s="56" t="str">
        <f t="shared" si="33"/>
        <v/>
      </c>
      <c r="I121" s="47" t="str">
        <f t="shared" si="41"/>
        <v/>
      </c>
      <c r="J121" s="52" t="str">
        <f t="shared" si="42"/>
        <v/>
      </c>
      <c r="K121" s="52" t="str">
        <f t="shared" si="43"/>
        <v/>
      </c>
      <c r="L121" s="48" t="str">
        <f t="shared" si="44"/>
        <v/>
      </c>
      <c r="M121" s="48" t="str">
        <f t="shared" si="39"/>
        <v/>
      </c>
      <c r="N121" s="49" t="str">
        <f t="shared" si="45"/>
        <v/>
      </c>
      <c r="O121" s="53" t="str">
        <f t="shared" si="46"/>
        <v/>
      </c>
      <c r="P121" s="49" t="str">
        <f t="shared" si="37"/>
        <v/>
      </c>
      <c r="Q121" s="47" t="str">
        <f t="shared" si="47"/>
        <v/>
      </c>
      <c r="R121" s="47" t="str">
        <f t="shared" si="48"/>
        <v/>
      </c>
      <c r="S121" s="47" t="str">
        <f t="shared" si="49"/>
        <v/>
      </c>
      <c r="T121" s="47" t="str">
        <f t="shared" si="50"/>
        <v/>
      </c>
      <c r="U121" s="47" t="str">
        <f t="shared" si="51"/>
        <v/>
      </c>
      <c r="W121" s="49">
        <f t="shared" si="34"/>
        <v>0</v>
      </c>
      <c r="X121" s="49">
        <f t="shared" si="35"/>
        <v>0</v>
      </c>
    </row>
    <row r="122" spans="1:24" ht="9.9499999999999993" customHeight="1" x14ac:dyDescent="0.25">
      <c r="A122" s="54" t="str">
        <f>IF(Срок_Кредита&lt;110,"",110)</f>
        <v/>
      </c>
      <c r="B122" s="55" t="str">
        <f t="shared" si="36"/>
        <v/>
      </c>
      <c r="C122" s="56" t="str">
        <f t="shared" si="40"/>
        <v/>
      </c>
      <c r="D122" s="56" t="str">
        <f t="shared" si="38"/>
        <v/>
      </c>
      <c r="E122" s="56" t="str">
        <f t="shared" si="33"/>
        <v/>
      </c>
      <c r="I122" s="47" t="str">
        <f t="shared" si="41"/>
        <v/>
      </c>
      <c r="J122" s="52" t="str">
        <f t="shared" si="42"/>
        <v/>
      </c>
      <c r="K122" s="52" t="str">
        <f t="shared" si="43"/>
        <v/>
      </c>
      <c r="L122" s="48" t="str">
        <f t="shared" si="44"/>
        <v/>
      </c>
      <c r="M122" s="48" t="str">
        <f t="shared" si="39"/>
        <v/>
      </c>
      <c r="N122" s="49" t="str">
        <f t="shared" si="45"/>
        <v/>
      </c>
      <c r="O122" s="53" t="str">
        <f t="shared" si="46"/>
        <v/>
      </c>
      <c r="P122" s="49" t="str">
        <f t="shared" si="37"/>
        <v/>
      </c>
      <c r="Q122" s="47" t="str">
        <f t="shared" si="47"/>
        <v/>
      </c>
      <c r="R122" s="47" t="str">
        <f t="shared" si="48"/>
        <v/>
      </c>
      <c r="S122" s="47" t="str">
        <f t="shared" si="49"/>
        <v/>
      </c>
      <c r="T122" s="47" t="str">
        <f t="shared" si="50"/>
        <v/>
      </c>
      <c r="U122" s="47" t="str">
        <f t="shared" si="51"/>
        <v/>
      </c>
      <c r="W122" s="49">
        <f t="shared" si="34"/>
        <v>0</v>
      </c>
      <c r="X122" s="49">
        <f t="shared" si="35"/>
        <v>0</v>
      </c>
    </row>
    <row r="123" spans="1:24" ht="9.9499999999999993" customHeight="1" x14ac:dyDescent="0.25">
      <c r="A123" s="54" t="str">
        <f>IF(Срок_Кредита&lt;111,"",111)</f>
        <v/>
      </c>
      <c r="B123" s="55" t="str">
        <f t="shared" si="36"/>
        <v/>
      </c>
      <c r="C123" s="56" t="str">
        <f t="shared" si="40"/>
        <v/>
      </c>
      <c r="D123" s="56" t="str">
        <f t="shared" si="38"/>
        <v/>
      </c>
      <c r="E123" s="56" t="str">
        <f t="shared" si="33"/>
        <v/>
      </c>
      <c r="I123" s="47" t="str">
        <f t="shared" si="41"/>
        <v/>
      </c>
      <c r="J123" s="52" t="str">
        <f t="shared" si="42"/>
        <v/>
      </c>
      <c r="K123" s="52" t="str">
        <f t="shared" si="43"/>
        <v/>
      </c>
      <c r="L123" s="48" t="str">
        <f t="shared" si="44"/>
        <v/>
      </c>
      <c r="M123" s="48" t="str">
        <f t="shared" si="39"/>
        <v/>
      </c>
      <c r="N123" s="49" t="str">
        <f t="shared" si="45"/>
        <v/>
      </c>
      <c r="O123" s="53" t="str">
        <f t="shared" si="46"/>
        <v/>
      </c>
      <c r="P123" s="49" t="str">
        <f t="shared" si="37"/>
        <v/>
      </c>
      <c r="Q123" s="47" t="str">
        <f t="shared" si="47"/>
        <v/>
      </c>
      <c r="R123" s="47" t="str">
        <f t="shared" si="48"/>
        <v/>
      </c>
      <c r="S123" s="47" t="str">
        <f t="shared" si="49"/>
        <v/>
      </c>
      <c r="T123" s="47" t="str">
        <f t="shared" si="50"/>
        <v/>
      </c>
      <c r="U123" s="47" t="str">
        <f t="shared" si="51"/>
        <v/>
      </c>
      <c r="W123" s="49">
        <f t="shared" si="34"/>
        <v>0</v>
      </c>
      <c r="X123" s="49">
        <f t="shared" si="35"/>
        <v>0</v>
      </c>
    </row>
    <row r="124" spans="1:24" ht="9.9499999999999993" customHeight="1" x14ac:dyDescent="0.25">
      <c r="A124" s="54" t="str">
        <f>IF(Срок_Кредита&lt;112,"",112)</f>
        <v/>
      </c>
      <c r="B124" s="55" t="str">
        <f t="shared" si="36"/>
        <v/>
      </c>
      <c r="C124" s="56" t="str">
        <f t="shared" si="40"/>
        <v/>
      </c>
      <c r="D124" s="56" t="str">
        <f t="shared" si="38"/>
        <v/>
      </c>
      <c r="E124" s="56" t="str">
        <f t="shared" si="33"/>
        <v/>
      </c>
      <c r="I124" s="47" t="str">
        <f t="shared" si="41"/>
        <v/>
      </c>
      <c r="J124" s="52" t="str">
        <f t="shared" si="42"/>
        <v/>
      </c>
      <c r="K124" s="52" t="str">
        <f t="shared" si="43"/>
        <v/>
      </c>
      <c r="L124" s="48" t="str">
        <f t="shared" si="44"/>
        <v/>
      </c>
      <c r="M124" s="48" t="str">
        <f t="shared" si="39"/>
        <v/>
      </c>
      <c r="N124" s="49" t="str">
        <f t="shared" si="45"/>
        <v/>
      </c>
      <c r="O124" s="53" t="str">
        <f t="shared" si="46"/>
        <v/>
      </c>
      <c r="P124" s="49" t="str">
        <f t="shared" si="37"/>
        <v/>
      </c>
      <c r="Q124" s="47" t="str">
        <f t="shared" si="47"/>
        <v/>
      </c>
      <c r="R124" s="47" t="str">
        <f t="shared" si="48"/>
        <v/>
      </c>
      <c r="S124" s="47" t="str">
        <f t="shared" si="49"/>
        <v/>
      </c>
      <c r="T124" s="47" t="str">
        <f t="shared" si="50"/>
        <v/>
      </c>
      <c r="U124" s="47" t="str">
        <f t="shared" si="51"/>
        <v/>
      </c>
      <c r="W124" s="49">
        <f t="shared" si="34"/>
        <v>0</v>
      </c>
      <c r="X124" s="49">
        <f t="shared" si="35"/>
        <v>0</v>
      </c>
    </row>
    <row r="125" spans="1:24" ht="9.9499999999999993" customHeight="1" x14ac:dyDescent="0.25">
      <c r="A125" s="54" t="str">
        <f>IF(Срок_Кредита&lt;113,"",113)</f>
        <v/>
      </c>
      <c r="B125" s="55" t="str">
        <f t="shared" si="36"/>
        <v/>
      </c>
      <c r="C125" s="56" t="str">
        <f t="shared" si="40"/>
        <v/>
      </c>
      <c r="D125" s="56" t="str">
        <f t="shared" si="38"/>
        <v/>
      </c>
      <c r="E125" s="56" t="str">
        <f t="shared" si="33"/>
        <v/>
      </c>
      <c r="I125" s="47" t="str">
        <f t="shared" si="41"/>
        <v/>
      </c>
      <c r="J125" s="52" t="str">
        <f t="shared" si="42"/>
        <v/>
      </c>
      <c r="K125" s="52" t="str">
        <f t="shared" si="43"/>
        <v/>
      </c>
      <c r="L125" s="48" t="str">
        <f t="shared" si="44"/>
        <v/>
      </c>
      <c r="M125" s="48" t="str">
        <f t="shared" si="39"/>
        <v/>
      </c>
      <c r="N125" s="49" t="str">
        <f t="shared" si="45"/>
        <v/>
      </c>
      <c r="O125" s="53" t="str">
        <f t="shared" si="46"/>
        <v/>
      </c>
      <c r="P125" s="49" t="str">
        <f t="shared" si="37"/>
        <v/>
      </c>
      <c r="Q125" s="47" t="str">
        <f t="shared" si="47"/>
        <v/>
      </c>
      <c r="R125" s="47" t="str">
        <f t="shared" si="48"/>
        <v/>
      </c>
      <c r="S125" s="47" t="str">
        <f t="shared" si="49"/>
        <v/>
      </c>
      <c r="T125" s="47" t="str">
        <f t="shared" si="50"/>
        <v/>
      </c>
      <c r="U125" s="47" t="str">
        <f t="shared" si="51"/>
        <v/>
      </c>
      <c r="W125" s="49">
        <f t="shared" si="34"/>
        <v>0</v>
      </c>
      <c r="X125" s="49">
        <f t="shared" si="35"/>
        <v>0</v>
      </c>
    </row>
    <row r="126" spans="1:24" ht="9.9499999999999993" customHeight="1" x14ac:dyDescent="0.25">
      <c r="A126" s="54" t="str">
        <f>IF(Срок_Кредита&lt;114,"",114)</f>
        <v/>
      </c>
      <c r="B126" s="55" t="str">
        <f t="shared" si="36"/>
        <v/>
      </c>
      <c r="C126" s="56" t="str">
        <f t="shared" si="40"/>
        <v/>
      </c>
      <c r="D126" s="56" t="str">
        <f t="shared" si="38"/>
        <v/>
      </c>
      <c r="E126" s="56" t="str">
        <f t="shared" si="33"/>
        <v/>
      </c>
      <c r="I126" s="47" t="str">
        <f t="shared" si="41"/>
        <v/>
      </c>
      <c r="J126" s="52" t="str">
        <f t="shared" si="42"/>
        <v/>
      </c>
      <c r="K126" s="52" t="str">
        <f t="shared" si="43"/>
        <v/>
      </c>
      <c r="L126" s="48" t="str">
        <f t="shared" si="44"/>
        <v/>
      </c>
      <c r="M126" s="48" t="str">
        <f t="shared" si="39"/>
        <v/>
      </c>
      <c r="N126" s="49" t="str">
        <f t="shared" si="45"/>
        <v/>
      </c>
      <c r="O126" s="53" t="str">
        <f t="shared" si="46"/>
        <v/>
      </c>
      <c r="P126" s="49" t="str">
        <f t="shared" si="37"/>
        <v/>
      </c>
      <c r="Q126" s="47" t="str">
        <f t="shared" si="47"/>
        <v/>
      </c>
      <c r="R126" s="47" t="str">
        <f t="shared" si="48"/>
        <v/>
      </c>
      <c r="S126" s="47" t="str">
        <f t="shared" si="49"/>
        <v/>
      </c>
      <c r="T126" s="47" t="str">
        <f t="shared" si="50"/>
        <v/>
      </c>
      <c r="U126" s="47" t="str">
        <f t="shared" si="51"/>
        <v/>
      </c>
      <c r="W126" s="49">
        <f t="shared" si="34"/>
        <v>0</v>
      </c>
      <c r="X126" s="49">
        <f t="shared" si="35"/>
        <v>0</v>
      </c>
    </row>
    <row r="127" spans="1:24" ht="9.9499999999999993" customHeight="1" x14ac:dyDescent="0.25">
      <c r="A127" s="54" t="str">
        <f>IF(Срок_Кредита&lt;115,"",115)</f>
        <v/>
      </c>
      <c r="B127" s="55" t="str">
        <f t="shared" si="36"/>
        <v/>
      </c>
      <c r="C127" s="56" t="str">
        <f t="shared" si="40"/>
        <v/>
      </c>
      <c r="D127" s="56" t="str">
        <f t="shared" si="38"/>
        <v/>
      </c>
      <c r="E127" s="56" t="str">
        <f t="shared" si="33"/>
        <v/>
      </c>
      <c r="I127" s="47" t="str">
        <f t="shared" si="41"/>
        <v/>
      </c>
      <c r="J127" s="52" t="str">
        <f t="shared" si="42"/>
        <v/>
      </c>
      <c r="K127" s="52" t="str">
        <f t="shared" si="43"/>
        <v/>
      </c>
      <c r="L127" s="48" t="str">
        <f t="shared" si="44"/>
        <v/>
      </c>
      <c r="M127" s="48" t="str">
        <f t="shared" si="39"/>
        <v/>
      </c>
      <c r="N127" s="49" t="str">
        <f t="shared" si="45"/>
        <v/>
      </c>
      <c r="O127" s="53" t="str">
        <f t="shared" si="46"/>
        <v/>
      </c>
      <c r="P127" s="49" t="str">
        <f t="shared" si="37"/>
        <v/>
      </c>
      <c r="Q127" s="47" t="str">
        <f t="shared" si="47"/>
        <v/>
      </c>
      <c r="R127" s="47" t="str">
        <f t="shared" si="48"/>
        <v/>
      </c>
      <c r="S127" s="47" t="str">
        <f t="shared" si="49"/>
        <v/>
      </c>
      <c r="T127" s="47" t="str">
        <f t="shared" si="50"/>
        <v/>
      </c>
      <c r="U127" s="47" t="str">
        <f t="shared" si="51"/>
        <v/>
      </c>
      <c r="W127" s="49">
        <f t="shared" si="34"/>
        <v>0</v>
      </c>
      <c r="X127" s="49">
        <f t="shared" si="35"/>
        <v>0</v>
      </c>
    </row>
    <row r="128" spans="1:24" ht="9.9499999999999993" customHeight="1" x14ac:dyDescent="0.25">
      <c r="A128" s="54" t="str">
        <f>IF(Срок_Кредита&lt;116,"",116)</f>
        <v/>
      </c>
      <c r="B128" s="55" t="str">
        <f t="shared" si="36"/>
        <v/>
      </c>
      <c r="C128" s="56" t="str">
        <f t="shared" si="40"/>
        <v/>
      </c>
      <c r="D128" s="56" t="str">
        <f t="shared" si="38"/>
        <v/>
      </c>
      <c r="E128" s="56" t="str">
        <f t="shared" si="33"/>
        <v/>
      </c>
      <c r="I128" s="47" t="str">
        <f t="shared" si="41"/>
        <v/>
      </c>
      <c r="J128" s="52" t="str">
        <f t="shared" si="42"/>
        <v/>
      </c>
      <c r="K128" s="52" t="str">
        <f t="shared" si="43"/>
        <v/>
      </c>
      <c r="L128" s="48" t="str">
        <f t="shared" si="44"/>
        <v/>
      </c>
      <c r="M128" s="48" t="str">
        <f t="shared" si="39"/>
        <v/>
      </c>
      <c r="N128" s="49" t="str">
        <f t="shared" si="45"/>
        <v/>
      </c>
      <c r="O128" s="53" t="str">
        <f t="shared" si="46"/>
        <v/>
      </c>
      <c r="P128" s="49" t="str">
        <f t="shared" si="37"/>
        <v/>
      </c>
      <c r="Q128" s="47" t="str">
        <f t="shared" si="47"/>
        <v/>
      </c>
      <c r="R128" s="47" t="str">
        <f t="shared" si="48"/>
        <v/>
      </c>
      <c r="S128" s="47" t="str">
        <f t="shared" si="49"/>
        <v/>
      </c>
      <c r="T128" s="47" t="str">
        <f t="shared" si="50"/>
        <v/>
      </c>
      <c r="U128" s="47" t="str">
        <f t="shared" si="51"/>
        <v/>
      </c>
      <c r="W128" s="49">
        <f t="shared" si="34"/>
        <v>0</v>
      </c>
      <c r="X128" s="49">
        <f t="shared" si="35"/>
        <v>0</v>
      </c>
    </row>
    <row r="129" spans="1:24" ht="9.9499999999999993" customHeight="1" x14ac:dyDescent="0.25">
      <c r="A129" s="54" t="str">
        <f>IF(Срок_Кредита&lt;117,"",117)</f>
        <v/>
      </c>
      <c r="B129" s="55" t="str">
        <f t="shared" si="36"/>
        <v/>
      </c>
      <c r="C129" s="56" t="str">
        <f t="shared" si="40"/>
        <v/>
      </c>
      <c r="D129" s="56" t="str">
        <f t="shared" si="38"/>
        <v/>
      </c>
      <c r="E129" s="56" t="str">
        <f t="shared" si="33"/>
        <v/>
      </c>
      <c r="I129" s="47" t="str">
        <f t="shared" si="41"/>
        <v/>
      </c>
      <c r="J129" s="52" t="str">
        <f t="shared" si="42"/>
        <v/>
      </c>
      <c r="K129" s="52" t="str">
        <f t="shared" si="43"/>
        <v/>
      </c>
      <c r="L129" s="48" t="str">
        <f t="shared" si="44"/>
        <v/>
      </c>
      <c r="M129" s="48" t="str">
        <f t="shared" si="39"/>
        <v/>
      </c>
      <c r="N129" s="49" t="str">
        <f t="shared" si="45"/>
        <v/>
      </c>
      <c r="O129" s="53" t="str">
        <f t="shared" si="46"/>
        <v/>
      </c>
      <c r="P129" s="49" t="str">
        <f t="shared" si="37"/>
        <v/>
      </c>
      <c r="Q129" s="47" t="str">
        <f t="shared" si="47"/>
        <v/>
      </c>
      <c r="R129" s="47" t="str">
        <f t="shared" si="48"/>
        <v/>
      </c>
      <c r="S129" s="47" t="str">
        <f t="shared" si="49"/>
        <v/>
      </c>
      <c r="T129" s="47" t="str">
        <f t="shared" si="50"/>
        <v/>
      </c>
      <c r="U129" s="47" t="str">
        <f t="shared" si="51"/>
        <v/>
      </c>
      <c r="W129" s="49">
        <f t="shared" si="34"/>
        <v>0</v>
      </c>
      <c r="X129" s="49">
        <f t="shared" si="35"/>
        <v>0</v>
      </c>
    </row>
    <row r="130" spans="1:24" ht="9.9499999999999993" customHeight="1" x14ac:dyDescent="0.25">
      <c r="A130" s="54" t="str">
        <f>IF(Срок_Кредита&lt;118,"",118)</f>
        <v/>
      </c>
      <c r="B130" s="55" t="str">
        <f t="shared" si="36"/>
        <v/>
      </c>
      <c r="C130" s="56" t="str">
        <f t="shared" si="40"/>
        <v/>
      </c>
      <c r="D130" s="56" t="str">
        <f t="shared" si="38"/>
        <v/>
      </c>
      <c r="E130" s="56" t="str">
        <f t="shared" si="33"/>
        <v/>
      </c>
      <c r="I130" s="47" t="str">
        <f t="shared" si="41"/>
        <v/>
      </c>
      <c r="J130" s="52" t="str">
        <f t="shared" si="42"/>
        <v/>
      </c>
      <c r="K130" s="52" t="str">
        <f t="shared" si="43"/>
        <v/>
      </c>
      <c r="L130" s="48" t="str">
        <f t="shared" si="44"/>
        <v/>
      </c>
      <c r="M130" s="48" t="str">
        <f t="shared" si="39"/>
        <v/>
      </c>
      <c r="N130" s="49" t="str">
        <f t="shared" si="45"/>
        <v/>
      </c>
      <c r="O130" s="53" t="str">
        <f t="shared" si="46"/>
        <v/>
      </c>
      <c r="P130" s="49" t="str">
        <f t="shared" si="37"/>
        <v/>
      </c>
      <c r="Q130" s="47" t="str">
        <f t="shared" si="47"/>
        <v/>
      </c>
      <c r="R130" s="47" t="str">
        <f t="shared" si="48"/>
        <v/>
      </c>
      <c r="S130" s="47" t="str">
        <f t="shared" si="49"/>
        <v/>
      </c>
      <c r="T130" s="47" t="str">
        <f t="shared" si="50"/>
        <v/>
      </c>
      <c r="U130" s="47" t="str">
        <f t="shared" si="51"/>
        <v/>
      </c>
      <c r="W130" s="49">
        <f t="shared" si="34"/>
        <v>0</v>
      </c>
      <c r="X130" s="49">
        <f t="shared" si="35"/>
        <v>0</v>
      </c>
    </row>
    <row r="131" spans="1:24" ht="9.9499999999999993" customHeight="1" x14ac:dyDescent="0.25">
      <c r="A131" s="54" t="str">
        <f>IF(Срок_Кредита&lt;119,"",119)</f>
        <v/>
      </c>
      <c r="B131" s="55" t="str">
        <f t="shared" si="36"/>
        <v/>
      </c>
      <c r="C131" s="56" t="str">
        <f t="shared" si="40"/>
        <v/>
      </c>
      <c r="D131" s="56" t="str">
        <f t="shared" si="38"/>
        <v/>
      </c>
      <c r="E131" s="56" t="str">
        <f t="shared" si="33"/>
        <v/>
      </c>
      <c r="I131" s="47" t="str">
        <f t="shared" si="41"/>
        <v/>
      </c>
      <c r="J131" s="52" t="str">
        <f t="shared" si="42"/>
        <v/>
      </c>
      <c r="K131" s="52" t="str">
        <f t="shared" si="43"/>
        <v/>
      </c>
      <c r="L131" s="48" t="str">
        <f t="shared" si="44"/>
        <v/>
      </c>
      <c r="M131" s="48" t="str">
        <f t="shared" si="39"/>
        <v/>
      </c>
      <c r="N131" s="49" t="str">
        <f t="shared" si="45"/>
        <v/>
      </c>
      <c r="O131" s="53" t="str">
        <f t="shared" si="46"/>
        <v/>
      </c>
      <c r="P131" s="49" t="str">
        <f t="shared" si="37"/>
        <v/>
      </c>
      <c r="Q131" s="47" t="str">
        <f t="shared" si="47"/>
        <v/>
      </c>
      <c r="R131" s="47" t="str">
        <f t="shared" si="48"/>
        <v/>
      </c>
      <c r="S131" s="47" t="str">
        <f t="shared" si="49"/>
        <v/>
      </c>
      <c r="T131" s="47" t="str">
        <f t="shared" si="50"/>
        <v/>
      </c>
      <c r="U131" s="47" t="str">
        <f t="shared" si="51"/>
        <v/>
      </c>
      <c r="W131" s="49">
        <f t="shared" si="34"/>
        <v>0</v>
      </c>
      <c r="X131" s="49">
        <f t="shared" si="35"/>
        <v>0</v>
      </c>
    </row>
    <row r="132" spans="1:24" ht="9.9499999999999993" customHeight="1" x14ac:dyDescent="0.25">
      <c r="A132" s="54" t="str">
        <f>IF(Срок_Кредита&lt;120,"",120)</f>
        <v/>
      </c>
      <c r="B132" s="55" t="str">
        <f t="shared" si="36"/>
        <v/>
      </c>
      <c r="C132" s="56" t="str">
        <f t="shared" si="40"/>
        <v/>
      </c>
      <c r="D132" s="56" t="str">
        <f t="shared" si="38"/>
        <v/>
      </c>
      <c r="E132" s="56" t="str">
        <f t="shared" si="33"/>
        <v/>
      </c>
      <c r="I132" s="47" t="str">
        <f t="shared" si="41"/>
        <v/>
      </c>
      <c r="J132" s="52" t="str">
        <f t="shared" si="42"/>
        <v/>
      </c>
      <c r="K132" s="52" t="str">
        <f t="shared" si="43"/>
        <v/>
      </c>
      <c r="L132" s="48" t="str">
        <f t="shared" si="44"/>
        <v/>
      </c>
      <c r="M132" s="48" t="str">
        <f t="shared" si="39"/>
        <v/>
      </c>
      <c r="N132" s="49" t="str">
        <f t="shared" si="45"/>
        <v/>
      </c>
      <c r="O132" s="53" t="str">
        <f t="shared" si="46"/>
        <v/>
      </c>
      <c r="P132" s="49" t="str">
        <f t="shared" si="37"/>
        <v/>
      </c>
      <c r="Q132" s="47" t="str">
        <f t="shared" si="47"/>
        <v/>
      </c>
      <c r="R132" s="47" t="str">
        <f t="shared" si="48"/>
        <v/>
      </c>
      <c r="S132" s="47" t="str">
        <f t="shared" si="49"/>
        <v/>
      </c>
      <c r="T132" s="47" t="str">
        <f t="shared" si="50"/>
        <v/>
      </c>
      <c r="U132" s="47" t="str">
        <f t="shared" si="51"/>
        <v/>
      </c>
      <c r="W132" s="49">
        <f t="shared" si="34"/>
        <v>0</v>
      </c>
      <c r="X132" s="49">
        <f t="shared" si="35"/>
        <v>0</v>
      </c>
    </row>
    <row r="133" spans="1:24" x14ac:dyDescent="0.25">
      <c r="A133" s="54"/>
    </row>
    <row r="134" spans="1:24" x14ac:dyDescent="0.25">
      <c r="A134" s="54"/>
    </row>
    <row r="135" spans="1:24" x14ac:dyDescent="0.25">
      <c r="A135" s="54"/>
    </row>
  </sheetData>
  <sheetProtection password="8A3D" sheet="1" objects="1" scenarios="1"/>
  <mergeCells count="29">
    <mergeCell ref="A1:E1"/>
    <mergeCell ref="A4:C4"/>
    <mergeCell ref="D4:E4"/>
    <mergeCell ref="J11:K11"/>
    <mergeCell ref="I3:M3"/>
    <mergeCell ref="I4:M4"/>
    <mergeCell ref="I2:M2"/>
    <mergeCell ref="L11:M11"/>
    <mergeCell ref="A2:C2"/>
    <mergeCell ref="D2:E2"/>
    <mergeCell ref="A8:C8"/>
    <mergeCell ref="D8:E8"/>
    <mergeCell ref="A10:B10"/>
    <mergeCell ref="A5:C5"/>
    <mergeCell ref="D5:E5"/>
    <mergeCell ref="A6:C6"/>
    <mergeCell ref="A7:C7"/>
    <mergeCell ref="D7:E7"/>
    <mergeCell ref="N11:N12"/>
    <mergeCell ref="A3:C3"/>
    <mergeCell ref="O11:O12"/>
    <mergeCell ref="P11:P12"/>
    <mergeCell ref="Q11:Q12"/>
    <mergeCell ref="R11:U11"/>
    <mergeCell ref="I1:N1"/>
    <mergeCell ref="I5:M5"/>
    <mergeCell ref="I6:M6"/>
    <mergeCell ref="I7:M7"/>
    <mergeCell ref="I8:M8"/>
  </mergeCells>
  <conditionalFormatting sqref="N13:N132">
    <cfRule type="cellIs" dxfId="0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Расчет суммы (корректировка РМ)</vt:lpstr>
      <vt:lpstr>Обучающий материал</vt:lpstr>
      <vt:lpstr>Новый график 2 ставки+отсрочка</vt:lpstr>
      <vt:lpstr>Дата_второй_ставки</vt:lpstr>
      <vt:lpstr>Дата_выдачи_кредита</vt:lpstr>
      <vt:lpstr>Кол_во_Льготных_дней</vt:lpstr>
      <vt:lpstr>Льготная_Ставка</vt:lpstr>
      <vt:lpstr>Основная_Ставка</vt:lpstr>
      <vt:lpstr>Отсрочка_ОД</vt:lpstr>
      <vt:lpstr>Платежная_дата</vt:lpstr>
      <vt:lpstr>Срок_Кредита</vt:lpstr>
      <vt:lpstr>Сумма_Кредита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Zmachinskiy</dc:creator>
  <cp:lastModifiedBy>Росинская Наталья Геннадьевна</cp:lastModifiedBy>
  <cp:lastPrinted>2016-11-24T12:34:55Z</cp:lastPrinted>
  <dcterms:created xsi:type="dcterms:W3CDTF">2014-01-31T11:27:07Z</dcterms:created>
  <dcterms:modified xsi:type="dcterms:W3CDTF">2022-07-05T11:33:21Z</dcterms:modified>
</cp:coreProperties>
</file>